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2.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0" yWindow="0" windowWidth="9345" windowHeight="6030"/>
  </bookViews>
  <sheets>
    <sheet name="Big table" sheetId="2" r:id="rId1"/>
    <sheet name="Cost-Benefit analysis" sheetId="4" r:id="rId2"/>
    <sheet name="McCollister, French, and Fang" sheetId="5" r:id="rId3"/>
  </sheets>
  <definedNames>
    <definedName name="_xlnm._FilterDatabase" localSheetId="0" hidden="1">'Big table'!$A$1:$I$42</definedName>
    <definedName name="Additional_prisoners">'Cost-Benefit analysis'!#REF!</definedName>
    <definedName name="Aftereffects__best_case_for_decarceration?">'Cost-Benefit analysis'!$B$5</definedName>
    <definedName name="Allocate_murder_costs_to_other_crimes_for_precision?">'Cost-Benefit analysis'!$B$6</definedName>
    <definedName name="Applies_to_crimes_of_passion_too?">'Cost-Benefit analysis'!$B$3</definedName>
    <definedName name="Average_length_of_stay__years">'Cost-Benefit analysis'!$B$13</definedName>
    <definedName name="California_population__2012_13">#REF!</definedName>
    <definedName name="Cost_inmate__2010">'Cost-Benefit analysis'!$B$8</definedName>
    <definedName name="CPI_2000">'Cost-Benefit analysis'!$B$18</definedName>
    <definedName name="CPI_2007">'Cost-Benefit analysis'!$B$19</definedName>
    <definedName name="CPI_2008">'Cost-Benefit analysis'!$B$19</definedName>
    <definedName name="CPI_2010">'Cost-Benefit analysis'!$B$20</definedName>
    <definedName name="Deterrence__best_case_for_decarceration?">'Cost-Benefit analysis'!$B$2</definedName>
    <definedName name="Deterrence_of__crimes_of_passion__too?">'Cost-Benefit analysis'!$B$3</definedName>
    <definedName name="Disability_weight_of_incarceration">'Cost-Benefit analysis'!$B$15</definedName>
    <definedName name="Earnings_loss__incapacitation__2010___year">'Cost-Benefit analysis'!$B$10</definedName>
    <definedName name="Earnings_loss__post_incarceration__per_spell">'Cost-Benefit analysis'!$B$11</definedName>
    <definedName name="Earnings_loss__post_incarceration__per_year_held">'Cost-Benefit analysis'!$B$12</definedName>
    <definedName name="Elasticity">'Cost-Benefit analysis'!$B$2</definedName>
    <definedName name="Harm_incident__low__murder_allocated__2008__1_000">'Cost-Benefit analysis'!$B$33:$I$33</definedName>
    <definedName name="Incapacitation__best_case_for_decarceration?">'Cost-Benefit analysis'!$B$4</definedName>
    <definedName name="increase_in_incarcerated_pop">'Cost-Benefit analysis'!#REF!</definedName>
    <definedName name="Jailed">'Cost-Benefit analysis'!$B$17</definedName>
    <definedName name="Low_cost_estimates__allocate_murder_to_other_crimes?">'Cost-Benefit analysis'!$B$6</definedName>
    <definedName name="Net_of_offsetting_jail_rise">#REF!</definedName>
    <definedName name="Prisoners">'Cost-Benefit analysis'!$B$16</definedName>
    <definedName name="Prisoners_released">#REF!</definedName>
    <definedName name="Query_from_UCR" localSheetId="1" hidden="1">'Cost-Benefit analysis'!#REF!</definedName>
    <definedName name="Query_from_UCR_1" localSheetId="1">'Cost-Benefit analysis'!$B$31:$H$31</definedName>
    <definedName name="Query_from_UCR_2" localSheetId="1" hidden="1">'Cost-Benefit analysis'!#REF!</definedName>
    <definedName name="Transfer_value_of_food__housing__etc.">'Cost-Benefit analysis'!$B$9</definedName>
    <definedName name="Value_of_QALY">'Cost-Benefit analysis'!$B$14</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5" i="4" l="1"/>
  <c r="B32" i="4" l="1"/>
  <c r="H35" i="4" s="1"/>
  <c r="B7" i="5"/>
  <c r="C7" i="5"/>
  <c r="D7" i="5"/>
  <c r="E7" i="5"/>
  <c r="F7" i="5"/>
  <c r="G7" i="5"/>
  <c r="H7" i="5"/>
  <c r="C8" i="5"/>
  <c r="C33" i="4" s="1"/>
  <c r="C35" i="4" s="1"/>
  <c r="D8" i="5"/>
  <c r="E8" i="5"/>
  <c r="F8" i="5"/>
  <c r="G8" i="5"/>
  <c r="G33" i="4" s="1"/>
  <c r="G35" i="4" s="1"/>
  <c r="H8" i="5"/>
  <c r="B10" i="4"/>
  <c r="B11" i="4"/>
  <c r="B12" i="4"/>
  <c r="B23" i="4"/>
  <c r="C23" i="4"/>
  <c r="D23" i="4"/>
  <c r="E23" i="4"/>
  <c r="B57" i="4" s="1"/>
  <c r="F23" i="4"/>
  <c r="G23" i="4"/>
  <c r="H23" i="4"/>
  <c r="I29" i="4"/>
  <c r="D65" i="4" s="1"/>
  <c r="E65" i="4" s="1"/>
  <c r="C32" i="4"/>
  <c r="D32" i="4"/>
  <c r="E32" i="4"/>
  <c r="F32" i="4"/>
  <c r="G32" i="4"/>
  <c r="H32" i="4"/>
  <c r="I32" i="4"/>
  <c r="D33" i="4"/>
  <c r="E33" i="4"/>
  <c r="F33" i="4"/>
  <c r="H33" i="4"/>
  <c r="I33" i="4"/>
  <c r="E34" i="4"/>
  <c r="I34" i="4"/>
  <c r="D35" i="4"/>
  <c r="E35" i="4"/>
  <c r="I35" i="4"/>
  <c r="F43" i="4"/>
  <c r="F44" i="4"/>
  <c r="F45" i="4"/>
  <c r="F46" i="4"/>
  <c r="F47" i="4"/>
  <c r="B51" i="4"/>
  <c r="C51" i="4"/>
  <c r="D51" i="4"/>
  <c r="C52" i="4"/>
  <c r="E52" i="4" s="1"/>
  <c r="D52" i="4"/>
  <c r="B53" i="4"/>
  <c r="C53" i="4"/>
  <c r="D53" i="4"/>
  <c r="E53" i="4" s="1"/>
  <c r="C54" i="4"/>
  <c r="E54" i="4" s="1"/>
  <c r="D54" i="4"/>
  <c r="B55" i="4"/>
  <c r="C55" i="4"/>
  <c r="D55" i="4"/>
  <c r="C56" i="4"/>
  <c r="D56" i="4"/>
  <c r="E56" i="4" s="1"/>
  <c r="G56" i="4" s="1"/>
  <c r="C57" i="4"/>
  <c r="D57" i="4"/>
  <c r="C58" i="4"/>
  <c r="D58" i="4"/>
  <c r="B59" i="4"/>
  <c r="E59" i="4" s="1"/>
  <c r="C59" i="4"/>
  <c r="D59" i="4"/>
  <c r="C60" i="4"/>
  <c r="D60" i="4"/>
  <c r="B61" i="4"/>
  <c r="C61" i="4"/>
  <c r="D61" i="4"/>
  <c r="E61" i="4"/>
  <c r="C62" i="4"/>
  <c r="D62" i="4"/>
  <c r="B63" i="4"/>
  <c r="C63" i="4"/>
  <c r="D63" i="4"/>
  <c r="C64" i="4"/>
  <c r="D64" i="4"/>
  <c r="E64" i="4"/>
  <c r="D66" i="4"/>
  <c r="E66" i="4" s="1"/>
  <c r="G66" i="4" s="1"/>
  <c r="F35" i="4" l="1"/>
  <c r="G64" i="4"/>
  <c r="E55" i="4"/>
  <c r="E62" i="4"/>
  <c r="E58" i="4"/>
  <c r="E51" i="4"/>
  <c r="F51" i="4" s="1"/>
  <c r="G53" i="4"/>
  <c r="G61" i="4"/>
  <c r="E63" i="4"/>
  <c r="E60" i="4"/>
  <c r="F60" i="4" s="1"/>
  <c r="D50" i="4"/>
  <c r="B49" i="4"/>
  <c r="E57" i="4"/>
  <c r="C49" i="4"/>
  <c r="F42" i="4"/>
  <c r="F62" i="4"/>
  <c r="G62" i="4"/>
  <c r="F57" i="4"/>
  <c r="G57" i="4"/>
  <c r="G58" i="4"/>
  <c r="F58" i="4"/>
  <c r="G55" i="4"/>
  <c r="F52" i="4"/>
  <c r="G52" i="4"/>
  <c r="G65" i="4"/>
  <c r="F65" i="4"/>
  <c r="D49" i="4"/>
  <c r="E49" i="4" s="1"/>
  <c r="F63" i="4"/>
  <c r="G63" i="4"/>
  <c r="F59" i="4"/>
  <c r="G59" i="4"/>
  <c r="F54" i="4"/>
  <c r="G54" i="4"/>
  <c r="G51" i="4"/>
  <c r="F66" i="4"/>
  <c r="F64" i="4"/>
  <c r="F61" i="4"/>
  <c r="F56" i="4"/>
  <c r="F53" i="4"/>
  <c r="C50" i="4"/>
  <c r="E50" i="4" s="1"/>
  <c r="G49" i="4" l="1"/>
  <c r="G60" i="4"/>
  <c r="G50" i="4"/>
  <c r="F50" i="4"/>
  <c r="F49" i="4"/>
  <c r="E37" i="2" l="1"/>
  <c r="E20" i="2"/>
  <c r="E36" i="2" l="1"/>
  <c r="E21" i="2" l="1"/>
  <c r="E12" i="2"/>
  <c r="E35" i="2" l="1"/>
  <c r="E26" i="2" l="1"/>
  <c r="E41" i="2"/>
  <c r="E40" i="2"/>
  <c r="E39" i="2"/>
</calcChain>
</file>

<file path=xl/connections.xml><?xml version="1.0" encoding="utf-8"?>
<connections xmlns="http://schemas.openxmlformats.org/spreadsheetml/2006/main">
  <connection id="1" name="Query from UCR1" type="1" refreshedVersion="6" background="1" saveData="1">
    <dbPr connection="DSN=UCR;UID=David;Trusted_Connection=Yes;APP=Microsoft Office 2016;WSID=DAVID-THINK;DATABASE=UCR;" command="SELECT        CAST(SUM(ArrMurder) AS real) / SUM(Murder) AS ClrRateMurder, CAST(SUM(ArrRape) AS real) / SUM(Rape) AS ClrRateRape, CAST(SUM(ArrAssault - ArrAssaultSimple) AS real) / SUM(Assault - AssaultSimple) _x000d__x000a_                         AS ClrRateAssaultAgg, CAST(SUM(ArrRobbery) AS real) / SUM(Robbery) AS ClrRateRobberyUnarmed, _x000d__x000a_                         CAST(SUM(ArrBurglary) AS real) / SUM(Burglary) AS ClrRateBurglary, CAST(SUM(ArrLarceny) AS real) / SUM(Larceny) AS ClrRateLarceny, CAST(SUM(ArrMVTheft) AS real) / SUM(MVTheft) AS ClrRateMVTheft_x000d__x000a_FROM            [Crime by state, month]_x000d__x000a_WHERE        (Year = 1996) AND (PostalCode = 'GA')"/>
  </connection>
</connections>
</file>

<file path=xl/sharedStrings.xml><?xml version="1.0" encoding="utf-8"?>
<sst xmlns="http://schemas.openxmlformats.org/spreadsheetml/2006/main" count="485" uniqueCount="394">
  <si>
    <t>Study</t>
  </si>
  <si>
    <t>(Quasi-)experiment</t>
  </si>
  <si>
    <t>Outcome</t>
  </si>
  <si>
    <t>Source specifics</t>
  </si>
  <si>
    <t>Berecochea &amp; Jaman 1981</t>
  </si>
  <si>
    <t>Martin, Annan, &amp; Forst 1993</t>
  </si>
  <si>
    <t>Whether subsequent DWI conviction within 2 years</t>
  </si>
  <si>
    <t>Table 4</t>
  </si>
  <si>
    <t>Chen &amp; Shapiro 2007</t>
  </si>
  <si>
    <t>Table 3</t>
  </si>
  <si>
    <t>Gaes &amp; Camp 2009</t>
  </si>
  <si>
    <t>561 adult male inmates entering CA prison, Nov. 1998–Apr. 1999.</t>
  </si>
  <si>
    <t>Inmates released from federal prison, 1st half of 1987, of which 91 scored 5–6 and 52 scored 7–8</t>
  </si>
  <si>
    <t>Random assignment to judges, some of whom did not comply with two-day jail requirement for first-time DWI offenders</t>
  </si>
  <si>
    <t>Table 5, col. 4</t>
  </si>
  <si>
    <t>Green &amp; Winik 2010</t>
  </si>
  <si>
    <t>1003 felony drug charges, DC, June 2002–May 2003</t>
  </si>
  <si>
    <t>Whether reappeared in court after estimated release date (disposition date + formula's minimum sentence) and before Dec. 31, 2000, or turning 18</t>
  </si>
  <si>
    <t>Table 5, row 1</t>
  </si>
  <si>
    <t>Nagin &amp; Snodgrass 2013</t>
  </si>
  <si>
    <t>Tables 6–12</t>
  </si>
  <si>
    <t>No clear cross-judge differences</t>
  </si>
  <si>
    <t>Loeffler 2013</t>
  </si>
  <si>
    <t>Random assignment among judges within a county's court</t>
  </si>
  <si>
    <t>Kuziemko 2013</t>
  </si>
  <si>
    <t>Setting, sample</t>
  </si>
  <si>
    <t>Whether reentered GA prison within 3 years of release</t>
  </si>
  <si>
    <t>WA juvenile courts, Jul. 1998–Dec. 2000. 1147 incarcerated, 19395 not</t>
  </si>
  <si>
    <t>17437 GA prisoners sentenced in 1993–2001, some for 90%-rule offenses, some not, some released before rule, some not</t>
  </si>
  <si>
    <t>Aizer &amp; Doyle 2015</t>
  </si>
  <si>
    <t>37692 juvenile offenders appearing in court 1990–2006 and turning 25 by 2008, Cook County (includes Chicago)</t>
  </si>
  <si>
    <t>Random assignment among judges serving a given neighborhood district, some more likely to incarcerate juvenile defendants than others</t>
  </si>
  <si>
    <t>Drago, Galbiati, and Vertova 2009</t>
  </si>
  <si>
    <t>20950 people released from Italian prisons, Aug. 1, 2006</t>
  </si>
  <si>
    <t>Whether reentered prison within 7 months</t>
  </si>
  <si>
    <t>Tables 1 &amp; 2</t>
  </si>
  <si>
    <t>Helland &amp; Tabarrok 2007</t>
  </si>
  <si>
    <t>Iyengar 2008 (working paper)</t>
  </si>
  <si>
    <t>17264 arrestees in Los Angeles, San Francisco, San Diego, 1990–99</t>
  </si>
  <si>
    <t>Owens 2009</t>
  </si>
  <si>
    <t>Mueller-Smith 2015 (working paper)</t>
  </si>
  <si>
    <t>133 convicted males who serve time, age 23–25, MD, 1999–2004</t>
  </si>
  <si>
    <t>Number of rearrests in 222 days after release, among 73 offenders sentenced after policy change</t>
  </si>
  <si>
    <t>Tables 3 &amp; 5</t>
  </si>
  <si>
    <t>Italy, 2004–08</t>
  </si>
  <si>
    <t>Lee &amp; McCrary 2009 (working paper)</t>
  </si>
  <si>
    <t>Table 2, row 1; figure 5</t>
  </si>
  <si>
    <t>Vollaard 2013</t>
  </si>
  <si>
    <t>Netherlands, 1998–2008</t>
  </si>
  <si>
    <t>On Jul. 1, 2001, juvenile records removed from consideration in sentencing offenders aged 23–25, cutting average time served 222 days</t>
  </si>
  <si>
    <t>Per-year any-state rearrest rate over 1, 2, 3 years</t>
  </si>
  <si>
    <t>Levitt 1996</t>
  </si>
  <si>
    <t>Violent &amp; property crimes/100,000 residents by state &amp; year</t>
  </si>
  <si>
    <t>Table V, cols. 4 &amp; 6; Table VI, cols. 3 &amp; 6.</t>
  </si>
  <si>
    <t>Abrams 2012</t>
  </si>
  <si>
    <t>–3.2% points each extra month served (p &lt; .05)</t>
  </si>
  <si>
    <t>Randomized to Level I or III prison (Level I=lowest security, IV=highest)</t>
  </si>
  <si>
    <t>Whether rearrested in PA within 1, 2, 5, 10 years of sentencing</t>
  </si>
  <si>
    <t>Whether rearrested within 1, 2, 3 years, within 1990–99</t>
  </si>
  <si>
    <t>People just before or after 18th birthday are statistically similar but face different sentencing regimes</t>
  </si>
  <si>
    <t>Whether rearrested within 1, 2, 3 years of release</t>
  </si>
  <si>
    <t>Tables 6 &amp; 7</t>
  </si>
  <si>
    <t>Random courtroom assignment</t>
  </si>
  <si>
    <t>Y</t>
  </si>
  <si>
    <t>N</t>
  </si>
  <si>
    <t>Di Tella &amp; Schargrodsky 2013</t>
  </si>
  <si>
    <t>Whether reentered prison for new crime in Buenos Aires by Oct. 2007 (average postrelease follow-up period = 2.85 years)</t>
  </si>
  <si>
    <t>19.8%→34.6%, 36.6%→55.8%, 48.4%→63.5% within 1, 2, 3 years, moving from 5–6 to 7–8 (p &lt; .05, .05, .1)</t>
  </si>
  <si>
    <t>–.16% points for each extra month served; or, equivalently, for each month reduction in prospective punishment if reconvicted (p &lt; .0001)</t>
  </si>
  <si>
    <t>–2.79 arrests/ person/year (p &lt; .001), of which –1.65 drug arrests</t>
  </si>
  <si>
    <t>+15% (p = .05)</t>
  </si>
  <si>
    <t>Table 5, col. 5</t>
  </si>
  <si>
    <t>Juveniles</t>
  </si>
  <si>
    <t>Table 3, col. 6.</t>
  </si>
  <si>
    <t>% of probation appointments missed, drug tests failed; whether arrested for new crime within 1 year; whether probation revoked; days incarcerated</t>
  </si>
  <si>
    <t>Whether recidivates over 5 years after previous charge, by quarter, measured 3 ways: booked in County's jail, charged in County's court, convicted in TX. Also, employment &amp; earnings.</t>
  </si>
  <si>
    <t>Whether arrested or imprisoned within 1, 2 years of assignment</t>
  </si>
  <si>
    <t>No significant differences at p = .05</t>
  </si>
  <si>
    <t>Table 4 &amp; Fig. 2</t>
  </si>
  <si>
    <t>Buonanno &amp; Raphael 2013</t>
  </si>
  <si>
    <t>Crime rates by province, month, &amp; offense category</t>
  </si>
  <si>
    <t>Whether &amp; when reentered CA prison, through Sep. 21, 2006.</t>
  </si>
  <si>
    <t>Crime rates by city &amp; offense group (car &amp; domestic burglary; assault &amp; sexual crimes)</t>
  </si>
  <si>
    <t>519 non-violent-offender inmates in GA, Mar. 18, 1981, who on average served 13 of 17 months recommended</t>
  </si>
  <si>
    <t>Those incarcerated (typically 1–2 months) graduated 12.5% points less and entered prison 23.4% points more (p &lt;.005)</t>
  </si>
  <si>
    <t>Hjalmarsson 2009a</t>
  </si>
  <si>
    <t>Hjalmarsson 2009b</t>
  </si>
  <si>
    <t>Any self-reported theft, assault, drug sales in last year</t>
  </si>
  <si>
    <t>National sample of 9000 males who were 12–16 on Dec. 31, 1996; interviewed yearly</t>
  </si>
  <si>
    <t>Table 7, row 1</t>
  </si>
  <si>
    <t>0; but almost certainly – while incarcerated, implying + after release</t>
  </si>
  <si>
    <r>
      <t xml:space="preserve">Because of overcrowding, sudden 3-year sentence reduction for most prisoners, causing 40% to be released immediately; commuted time added to </t>
    </r>
    <r>
      <rPr>
        <i/>
        <sz val="9"/>
        <color theme="1"/>
        <rFont val="Arial"/>
        <family val="2"/>
      </rPr>
      <t>next</t>
    </r>
    <r>
      <rPr>
        <sz val="9"/>
        <color theme="1"/>
        <rFont val="Arial"/>
        <family val="2"/>
      </rPr>
      <t xml:space="preserve"> sentence if reconvicted within 5 years</t>
    </r>
  </si>
  <si>
    <r>
      <t xml:space="preserve">Mass release of prisoners closest to release date, to make room for inmates in overcrowded </t>
    </r>
    <r>
      <rPr>
        <i/>
        <sz val="9"/>
        <color theme="1"/>
        <rFont val="Arial"/>
        <family val="2"/>
      </rPr>
      <t>jails</t>
    </r>
  </si>
  <si>
    <r>
      <t xml:space="preserve">124 offenders who had
been sentenced to </t>
    </r>
    <r>
      <rPr>
        <sz val="9"/>
        <color theme="1"/>
        <rFont val="Symbol"/>
        <family val="1"/>
        <charset val="2"/>
      </rPr>
      <t>£</t>
    </r>
    <r>
      <rPr>
        <sz val="9"/>
        <color theme="1"/>
        <rFont val="Arial"/>
        <family val="2"/>
      </rPr>
      <t>27 months or had violated probation, 7 MN counties, Oct. 1990–June 1992; average prison time 124 for ICS group, 228 days for prison group</t>
    </r>
  </si>
  <si>
    <r>
      <t>Assignment formula put statistically similar juvenile convicts on both sides of cutoff between incarceration (</t>
    </r>
    <r>
      <rPr>
        <sz val="9"/>
        <color theme="1"/>
        <rFont val="Symbol"/>
        <family val="1"/>
        <charset val="2"/>
      </rPr>
      <t>³</t>
    </r>
    <r>
      <rPr>
        <sz val="9"/>
        <color theme="1"/>
        <rFont val="Arial"/>
        <family val="2"/>
      </rPr>
      <t>15 weeks) and "local sanctions" (</t>
    </r>
    <r>
      <rPr>
        <sz val="9"/>
        <color theme="1"/>
        <rFont val="Symbol"/>
        <family val="1"/>
        <charset val="2"/>
      </rPr>
      <t>£</t>
    </r>
    <r>
      <rPr>
        <sz val="9"/>
        <color theme="1"/>
        <rFont val="Arial"/>
        <family val="2"/>
      </rPr>
      <t>30 days detention/community service/community supervision/fine)</t>
    </r>
  </si>
  <si>
    <r>
      <t>64,073 juveniles in FL whose 1</t>
    </r>
    <r>
      <rPr>
        <vertAlign val="superscript"/>
        <sz val="9"/>
        <color theme="1"/>
        <rFont val="Arial"/>
        <family val="2"/>
      </rPr>
      <t>st</t>
    </r>
    <r>
      <rPr>
        <sz val="9"/>
        <color theme="1"/>
        <rFont val="Arial"/>
        <family val="2"/>
      </rPr>
      <t xml:space="preserve"> arrest was before age 17, during 1989–2002</t>
    </r>
  </si>
  <si>
    <r>
      <t>Assignment formula put statistically similar inmates on both sides of cutoff between minimum- and higher-security confinement (</t>
    </r>
    <r>
      <rPr>
        <sz val="9"/>
        <color theme="1"/>
        <rFont val="Symbol"/>
        <family val="1"/>
        <charset val="2"/>
      </rPr>
      <t>£</t>
    </r>
    <r>
      <rPr>
        <sz val="9"/>
        <color theme="1"/>
        <rFont val="Arial"/>
        <family val="2"/>
      </rPr>
      <t xml:space="preserve">6 points vs. </t>
    </r>
    <r>
      <rPr>
        <sz val="9"/>
        <color theme="1"/>
        <rFont val="Symbol"/>
        <family val="1"/>
        <charset val="2"/>
      </rPr>
      <t>³</t>
    </r>
    <r>
      <rPr>
        <sz val="9"/>
        <color theme="1"/>
        <rFont val="Arial"/>
        <family val="2"/>
      </rPr>
      <t>7)</t>
    </r>
  </si>
  <si>
    <t>Ross 1982</t>
  </si>
  <si>
    <t>Various measures of traffic casualties, traffic deaths</t>
  </si>
  <si>
    <t>People just before or after age of criminal majority are statistically similar but face different sentencing regimes</t>
  </si>
  <si>
    <t>Random assignment to early release from prison into intensive community supervision (ICS): frequent parole check-ins, drug tests, full-time drug treatment/training/job search.</t>
  </si>
  <si>
    <t>In 2001 and 2004, two groups of cities implemented law increasing typical sentences for habitual offenders from 2 months to 2 years; 1st-round cities chosen for having more crime</t>
  </si>
  <si>
    <t>Weisburd, Einat, &amp; Kowalski 2008</t>
  </si>
  <si>
    <r>
      <t xml:space="preserve">After Jan. 1, 1997, inmates convicted of certain offenses required to serve 90% of original sentence, curtailing parole board discretion; time served for this group only rose 2 months relative to control group, but </t>
    </r>
    <r>
      <rPr>
        <i/>
        <sz val="9"/>
        <color theme="1"/>
        <rFont val="Arial"/>
        <family val="2"/>
      </rPr>
      <t xml:space="preserve">incentive </t>
    </r>
    <r>
      <rPr>
        <sz val="9"/>
        <color theme="1"/>
        <rFont val="Arial"/>
        <family val="2"/>
      </rPr>
      <t>for rehabilitation extinguished</t>
    </r>
  </si>
  <si>
    <r>
      <t xml:space="preserve">1138 male felon inmates in CA who during Mar.–Aug. 1970 originally had parole date </t>
    </r>
    <r>
      <rPr>
        <sz val="9"/>
        <color theme="1"/>
        <rFont val="Symbol"/>
        <family val="1"/>
        <charset val="2"/>
      </rPr>
      <t>³</t>
    </r>
    <r>
      <rPr>
        <sz val="9"/>
        <color theme="1"/>
        <rFont val="Arial"/>
        <family val="2"/>
      </rPr>
      <t>6 months hence</t>
    </r>
  </si>
  <si>
    <t xml:space="preserve">Probationers delinquent on fees/fines/restitution randomly exposed to three enforcement regimes, two of which threatened jail time </t>
  </si>
  <si>
    <t>Whether, within 6 months, paid 50%, 100% of $ due</t>
  </si>
  <si>
    <t>US, Canada, UK, Finland, Norway, Sweden, France, Australia, New Zealand, 1950s–70s</t>
  </si>
  <si>
    <t>Institution of new sanctions for drinking &amp; driving or heightened enforcement thereof</t>
  </si>
  <si>
    <t>1447 people released from CA prison in 1994, year of adoption of 3 strikes, who had been tried twice for "strikeable" felons and convicted twice, except perhaps once for a non-strikeable offense</t>
  </si>
  <si>
    <t>Under CA "3 strikes" law, a serious or violent felony starts the strike count while any felony is asserted to continue it. Thus two people convicted of same crimes in different order can differ in proximity to severe 3rd-strike punishment.</t>
  </si>
  <si>
    <t>Table 3, col. 5</t>
  </si>
  <si>
    <t>Deschenes, Turner, &amp; Petersilia 1995</t>
  </si>
  <si>
    <t>20297 felony charges, Cook County (includes Chicago), 2000–03, apparently restricted by 67%-successful match to employment data</t>
  </si>
  <si>
    <t>6127 offenders convicted in 6 PA counties, 1999</t>
  </si>
  <si>
    <t>Ganong 2012</t>
  </si>
  <si>
    <t>GA updated parole board guidelines for time served on April 1, 1993.</t>
  </si>
  <si>
    <t>18,589 inmates who served 3 months–10 years and considered for parole Apr. 1, 1992–Mar. 30, 1994.</t>
  </si>
  <si>
    <t>Assignment formula put statistically similar convicts entering prison on both sides of cutoff between medium- and high-risk in formula for recommended time served</t>
  </si>
  <si>
    <t>Table A2</t>
  </si>
  <si>
    <t>~450,000 felony defendants, Harris County (includes Houston), 1980–2009</t>
  </si>
  <si>
    <r>
      <t xml:space="preserve">Probabilty by week of life that a person's 1st arrest </t>
    </r>
    <r>
      <rPr>
        <i/>
        <sz val="9"/>
        <color theme="1"/>
        <rFont val="Arial"/>
        <family val="2"/>
      </rPr>
      <t>since</t>
    </r>
    <r>
      <rPr>
        <sz val="9"/>
        <color theme="1"/>
        <rFont val="Arial"/>
        <family val="2"/>
      </rPr>
      <t xml:space="preserve"> age 17 for a serious ("index") crime occurs; average delay between 1st &amp; 2nd such arrest, by week of life of 1st one</t>
    </r>
  </si>
  <si>
    <t>Roach &amp; Schanzenbach 2015 (working paper)</t>
  </si>
  <si>
    <t>Quasi-random courtroom assignment to sentencing judges after conviction</t>
  </si>
  <si>
    <t>Whether sentenced for felony within 1, 2, 3 years of release</t>
  </si>
  <si>
    <t>Whether returned within 1, 3, 10 years –3.9%, –5.9%, –3.7% points/year served (p &lt; .01); number of returns –3.9%, –6.1%, –7.8% points/year served (p &lt; .01).</t>
  </si>
  <si>
    <t>–1.17%, –1.06%, and –1.33% over 1, 2, 3 years per month of judge's average sentence (p &lt; .01, .05, .05)</t>
  </si>
  <si>
    <t>Table 4, row 2</t>
  </si>
  <si>
    <t>Whether entered prison in Illinois by age 25, whether completed high school</t>
  </si>
  <si>
    <t>386 sentenced to electronic monitoring, 1140 to prison, Buenos Aires province, 1998–2007, all male, &lt;40</t>
  </si>
  <si>
    <t>Whether reentered prison within 1, 3, 10 years of release; number of returns within same</t>
  </si>
  <si>
    <t>Quasi-random assignment among 9 judges, who varied in average sentence length given despite statistical similarity of their defendant pools</t>
  </si>
  <si>
    <t>Table 2, col 3; Table 3, col 3.</t>
  </si>
  <si>
    <t>Whether rearrested for a felony (not drug crime or misdemeanor) within 5 years of indictment (including time served); whether employed at 5-year mark</t>
  </si>
  <si>
    <t>Lofstrom and Raphael 2016</t>
  </si>
  <si>
    <t>Incapacitation versus highly supervised release</t>
  </si>
  <si>
    <t>Incapacitation versus standard release</t>
  </si>
  <si>
    <t>Aftereffects</t>
  </si>
  <si>
    <t>Deterrence: Swiftness and certainty</t>
  </si>
  <si>
    <t>Data/ code public/ shared?</t>
  </si>
  <si>
    <t>Shared something close by e-mail</t>
  </si>
  <si>
    <t>Hawken &amp; Kleiman 2009; Hawken et al. 2016</t>
  </si>
  <si>
    <t>12 months: 23%→9% appointments missed, 46%→13% drug tests failed, 15%→7%, probation revoked, 267→138 days incarcerated (all p &lt; .01); 76 months: 7.1→6.3 appointments missed; 47%→42% multiple arrests for new crimes, 29%→21% return to prison (p = .09, .03, .00)</t>
  </si>
  <si>
    <t>Table 2, last row; Table 3, "CAStrike2" row.</t>
  </si>
  <si>
    <t>Table 4, col 3; Appendix Table 2 cols 3 &amp; 6, in 2007 draft.</t>
  </si>
  <si>
    <t>Crime rates by county; change in crime rates by crime type relative to synthetic control group of other states</t>
  </si>
  <si>
    <t>CA, starting Oct. 1, 2011, total incarcerated fell from 232,000 to 213,000 in 6 months</t>
  </si>
  <si>
    <t>Table 5</t>
  </si>
  <si>
    <t>17373 GA prisoners entering after 1995 and leaving before 2006</t>
  </si>
  <si>
    <t>Table II, col. 3.</t>
  </si>
  <si>
    <t>Each extra month served because of high-risk classification led to 1.3% points less recidivism (p &lt; .01)</t>
  </si>
  <si>
    <t>Table IV, col. 3</t>
  </si>
  <si>
    <t>Abstract, Tables 1 &amp; 2.</t>
  </si>
  <si>
    <t>Estimates 25% reduction in burglaries after repeat offenders targeted by the law grew to 5% of incarcerated population. Signs of diminishing returns outside this core group.</t>
  </si>
  <si>
    <t>Table III, col. 8.</t>
  </si>
  <si>
    <t>Hawken &amp; Kleiman, Appendix 3, Table A2; Hawken et al., pp. 49–53.</t>
  </si>
  <si>
    <t>Well-publicized (controversial) new laws or enforcement campaigns reduce traffic deaths (but not alcohol sales); but effect generally fades within 1 year, perhaps because true risk of getting caught stays low.</t>
  </si>
  <si>
    <t>Additional scrutiny/critique</t>
  </si>
  <si>
    <t>Overall take</t>
  </si>
  <si>
    <t>People with 2 trials and 2 strike convictions statistically similar to those with 2 convictions and 1 strike; yet the two groups differ in proximity to severe 3rd-strike punishment</t>
  </si>
  <si>
    <t>48%→40% average over 3 years; 15.1% reduction per unit time (p &lt; .05)</t>
  </si>
  <si>
    <t>Many states imposed minimum sentences for crimes, especially by repeat offenders; or gun add-on laws to raise sentences for gun-involved crimes</t>
  </si>
  <si>
    <t>521 US localities, 1970–99</t>
  </si>
  <si>
    <t>Gun robberies &amp; gun assaults/resident</t>
  </si>
  <si>
    <t>Study checks impacts of 2 policies on 2 outcomes, finds deterrence in 1 of 4 cases, and that after redefining onset of treatment from date of effect to date of passage. Reconstructed data set suggests this result is fragile.</t>
  </si>
  <si>
    <t>Y (primary data only)</t>
  </si>
  <si>
    <t>Intensively supervised release did not affect crime relative to incarceration, cost less. Many involved resist its adoption.</t>
  </si>
  <si>
    <t>Potential attrition bias: 66 of 386 treated individuals escaped. But running the numbers suggests this probably does not explain the result.</t>
  </si>
  <si>
    <t>Electronically monitored release reduced crime. I.e., relative to house arrest, harmful aftereffects of incarceration strong enough to offset incapacitation.</t>
  </si>
  <si>
    <t>AL, AK, AR, DE, FL, MS, NM, OK, RI, SC, TN, TX, 1973–93</t>
  </si>
  <si>
    <t>Passed over: Abrams (2011) working paper, Johnson &amp; Raphael (2013); Levitt (1998a, 1998b); Kessler &amp; Levitt (1999); Katz, Levitt, &amp; Shustorovich 2003; Killias, Aebi, &amp; Ribeaud (2000); Maurin &amp; Ouss (2009); Marvell &amp; Moody (1994); Barbarino &amp; Mastrobuoni (2014); van der Werff (1979).</t>
  </si>
  <si>
    <r>
      <t xml:space="preserve">Since those with more time suspended faced more deterrence </t>
    </r>
    <r>
      <rPr>
        <i/>
        <sz val="9"/>
        <color theme="1"/>
        <rFont val="Arial"/>
        <family val="2"/>
      </rPr>
      <t xml:space="preserve">and </t>
    </r>
    <r>
      <rPr>
        <sz val="9"/>
        <color theme="1"/>
        <rFont val="Arial"/>
        <family val="2"/>
      </rPr>
      <t xml:space="preserve">served less time, results may reflect (harmful) aftereffects as well as deterrence. Authors doubt former, arguing that literature favors </t>
    </r>
    <r>
      <rPr>
        <i/>
        <sz val="9"/>
        <color theme="1"/>
        <rFont val="Arial"/>
        <family val="2"/>
      </rPr>
      <t>beneficial</t>
    </r>
    <r>
      <rPr>
        <sz val="9"/>
        <color theme="1"/>
        <rFont val="Arial"/>
        <family val="2"/>
      </rPr>
      <t xml:space="preserve"> aftereffects, citing Kuziemko. I disagree with reading of literature.</t>
    </r>
  </si>
  <si>
    <t>Probably deterrence a substantial factor. Probably more cognitively salient than with "tough on crime" laws because of dramatic, individualized treatment.</t>
  </si>
  <si>
    <t xml:space="preserve">Exactly replicated from analysis data set. (Primary data inaccessible to non-academics.) Added omnibus test for treatment-control differences across all comparison traits. Subdivided outcome by crime type, motivated by intent to use in cost-benefit analysis. </t>
  </si>
  <si>
    <t>Replication points to one error in treatment-control balance table: 2-strikers had 11% fewer prior arrests (p = 0.01). Omnibus test also failed (p = .02). So results may reflect imbalance. And any effect essentially confined to drug crime, which is subject to replacement.</t>
  </si>
  <si>
    <t>Sudden speed-ups and slow-downs in prison growth caused by progression of prison overcrowding lawsuits</t>
  </si>
  <si>
    <t>Elasticities of violent &amp; property crime with respect to prison population with 1-year lag: −0.379, −0.261 (p = 0.04, 0.03)</t>
  </si>
  <si>
    <t>Same as Drago, Galbiati, &amp; Vertova 2009; refilling of prisons over following 2.5 years</t>
  </si>
  <si>
    <t>Initial release: –18 crimes/releasee/year, predominantly theft &amp; robbery (p &lt; .001). Prison refilling: –25 - –47 (p &lt; .001).</t>
  </si>
  <si>
    <t>Table 3, row 4.</t>
  </si>
  <si>
    <t>Exactly replicated from analysis data set. For graphing, subdivided outcome by crime. Revised methods to drop assumption that estimates of impacts on prison population and crime are uncorrelated, when computing their ratio.</t>
  </si>
  <si>
    <t>Prison population reduction under pressure from overcrowding lawsuit ("realignment"), restricted to non-violent, non-sexual, non-serious offenders</t>
  </si>
  <si>
    <t>Randomized 6-month release-to-parole acceleration</t>
  </si>
  <si>
    <t>Parole failure, e.g., returning to prison while still on parole. (Returns to prison after parole but within 2-year follow-up not counted.)</t>
  </si>
  <si>
    <t>11.2%→8.0% sent back by court within 2 years (p = .06)</t>
  </si>
  <si>
    <t>p. 2; Table 7; my tests for difference of proportions</t>
  </si>
  <si>
    <r>
      <t xml:space="preserve">Impacts on several outcomes significant at .05 &lt; p </t>
    </r>
    <r>
      <rPr>
        <sz val="9"/>
        <color theme="1"/>
        <rFont val="Symbol"/>
        <family val="1"/>
        <charset val="2"/>
      </rPr>
      <t xml:space="preserve">£ </t>
    </r>
    <r>
      <rPr>
        <sz val="9"/>
        <color theme="1"/>
        <rFont val="Arial"/>
        <family val="2"/>
      </rPr>
      <t>.1, which original calls insignificant. Possible sources of bias: aging, attrition (11.5% vs. 14.8%, p = .08), and counting completion of parole as success regardless of subsequent outcomes within 2-year follow-up. However, effect looks too large for aging; most were still on parole after 2 years; and attrition bias story feels speculative.</t>
    </r>
  </si>
  <si>
    <t>Alternative theories can be constructed, but aftereffects story--more time leading to less crime--seems reasonable.</t>
  </si>
  <si>
    <t>Treatment was two-fold. Those incarcerating more fined less. So meaning of results not clear.</t>
  </si>
  <si>
    <t>While the 6/7 border is sharp in principle, in a coarse scale a 1-point move can indicate significant differences, e.g., more priors. Also, the original does not mention that length of sentence enters point formula, so quantity and quality of incarceration may vary together, making meaning of results ambiguous.</t>
  </si>
  <si>
    <t>No info on differences in quantity of time served. But higher-security inmates got out slightly younger (35.8 vs. 36.3), opposite of expected if higher quantity of incarceration were causing harsher quality. Overall, aftereffects interpretation--harsher quality leading to more crime--looks reasonable.</t>
  </si>
  <si>
    <t>Findings parallel Chen &amp; Shapiro, but because of correlation of quantity and quality, less convincingly.</t>
  </si>
  <si>
    <t>+2.08%/month extra incarceration sentence (p = .25); but almost certainly – while incarcerated, implying + after release</t>
  </si>
  <si>
    <t>Exactly replicated from analysis data set. Checked for instrument strength and validity. Out of concern about low sensitivity of binary four-year arrest indicator, varied follow-up from 0 to 4 years and graphed results; and narrowed outcome from any rearrest to reconviction for felony (not misdemeanor).</t>
  </si>
  <si>
    <r>
      <t xml:space="preserve">Performing well on instrument validity test required including dummies for 2 of 9 judges as </t>
    </r>
    <r>
      <rPr>
        <i/>
        <sz val="9"/>
        <color theme="1"/>
        <rFont val="Arial"/>
        <family val="2"/>
      </rPr>
      <t>controls</t>
    </r>
    <r>
      <rPr>
        <sz val="9"/>
        <color theme="1"/>
        <rFont val="Arial"/>
        <family val="2"/>
      </rPr>
      <t>, which raises a general concern about quality of experiment. But varying follow-up and narrowing outcome paint consistent picture: at first, longer sentences lead to less crime; but as people are released, the trend reverses.</t>
    </r>
  </si>
  <si>
    <r>
      <t xml:space="preserve">Whether rearrested within 4 years of case </t>
    </r>
    <r>
      <rPr>
        <i/>
        <sz val="9"/>
        <color theme="1"/>
        <rFont val="Arial"/>
        <family val="2"/>
      </rPr>
      <t xml:space="preserve">disposition </t>
    </r>
    <r>
      <rPr>
        <sz val="9"/>
        <color theme="1"/>
        <rFont val="Arial"/>
        <family val="2"/>
      </rPr>
      <t xml:space="preserve">(including while in prison), not </t>
    </r>
    <r>
      <rPr>
        <i/>
        <sz val="9"/>
        <color theme="1"/>
        <rFont val="Arial"/>
        <family val="2"/>
      </rPr>
      <t>release,</t>
    </r>
    <r>
      <rPr>
        <sz val="9"/>
        <color theme="1"/>
        <rFont val="Arial"/>
        <family val="2"/>
      </rPr>
      <t xml:space="preserve"> in order to avoid aging bias.</t>
    </r>
  </si>
  <si>
    <t>8780 convicts in King County near Seattle, 1999–2011</t>
  </si>
  <si>
    <r>
      <t xml:space="preserve">Treatment is </t>
    </r>
    <r>
      <rPr>
        <i/>
        <sz val="9"/>
        <color theme="1"/>
        <rFont val="Arial"/>
        <family val="2"/>
      </rPr>
      <t>whether</t>
    </r>
    <r>
      <rPr>
        <sz val="9"/>
        <color theme="1"/>
        <rFont val="Arial"/>
        <family val="2"/>
      </rPr>
      <t xml:space="preserve"> incarceration, not how long, which destroys information and may reduce power. Because impacts on employment also evaluated, 1/3 of sample dropped for lack of employment information—even in the rearrest regressions, which do not need this information. Filtering on a post-treatment trait could cause bias.</t>
    </r>
  </si>
  <si>
    <t>Results look reasonable, compatible with similar studies. Hard to assess bias concern.</t>
  </si>
  <si>
    <r>
      <t xml:space="preserve">No direct information on average time sentenced, as distinct from whether incarcerated, by judge. Sample restricted to those </t>
    </r>
    <r>
      <rPr>
        <i/>
        <sz val="9"/>
        <color theme="1"/>
        <rFont val="Arial"/>
        <family val="2"/>
      </rPr>
      <t>convicted</t>
    </r>
    <r>
      <rPr>
        <sz val="9"/>
        <color theme="1"/>
        <rFont val="Arial"/>
        <family val="2"/>
      </rPr>
      <t xml:space="preserve"> even though that decision comes post-randomization and could correlate with treatment and outcome, inducing bias. But in practice, nearly all convicted.</t>
    </r>
  </si>
  <si>
    <t>Results look reasonable. Possibly biased toward 0 by lower power from binary treatment and outcome indicators.</t>
  </si>
  <si>
    <t>Some violations in cross-judge statistical balance: in prior drug convictions (p = .04) and prior serious violent convictions (p = 01). Unclear whether these difference correlate with judge severity in way that could explain results. Study started with two court locations and dropped other because of similar problems.</t>
  </si>
  <si>
    <t>Only judge randomization study finding beneficial aftereffects. Treatment-control imbalance raises doubts.</t>
  </si>
  <si>
    <t>Finds very small incapacitation and large, harmful aftereffects. Analysis is formidable, but outlier results combined with opacity and complexity argue for not fully relying on it.</t>
  </si>
  <si>
    <t>Initially reconstructed from Ganong data (below). Then exactly replicated from original data set and code. Comparison surfaced errors in variable construction and regression specification. Also discovered that instrument is formally collinear with controls. To test robustness, ran same regression at other thresholds in the 1983 and 1993 editions of the grid of length-of-stay recommendations.</t>
  </si>
  <si>
    <t>Fixing technical errors preserves point estimate but ~triples standard error (p = 0.1). Explicable by parole bias. And not robust to switching to other thresholds.</t>
  </si>
  <si>
    <t>Interpreted as aftereffects of more time served, impact is huge: a few extra months are transformational. Meanwhile, greater impact on first-timers fits framing theory, if the mass release made them revise priors more. Thus framing looks more plausible than aftereffects interpretation.</t>
  </si>
  <si>
    <t xml:space="preserve">Exactly replicated from original data set and code. Fixing errors in variable construction--notably, defining before-after split on date of sentencing rather than date of crime commission to conform to the original policy--weakens results. Excluding returns to prison by parolees for misdemeanors or technical violations does so further, suggesting role for parole bias. </t>
  </si>
  <si>
    <t>Aside from technical and parole bias concerns, long-span before-after comparison--4 years forward and 5 back--not highly credible.</t>
  </si>
  <si>
    <t>More robust than Kuziemko grid-based analysis (which exploits cross-sectional, not temporal, discontinuity). Breaking out 10-year impact by type of crime reveals it to be confined to returns to prison by parolees for felony charge or conviction, which makes parole bias the simplest explanation.</t>
  </si>
  <si>
    <t>Exactly replicated from original data set and code. Subdivided outcome by crime type, motivated by intent to use in cost-benefit analysis. To check robustness, applied same regression to 1983 grid revision as well as 1993 one.</t>
  </si>
  <si>
    <r>
      <t xml:space="preserve">Results in graphs inarguable. Suggests teenagers not deterred by the longer sentences as they hit 18. Sudden drop in odds of </t>
    </r>
    <r>
      <rPr>
        <i/>
        <sz val="9"/>
        <color theme="1"/>
        <rFont val="Arial"/>
        <family val="2"/>
      </rPr>
      <t>2nd</t>
    </r>
    <r>
      <rPr>
        <sz val="9"/>
        <color theme="1"/>
        <rFont val="Arial"/>
        <family val="2"/>
      </rPr>
      <t xml:space="preserve"> arrest as date of 1st one passes 18h birthday best explained by being incarcerated longer if arrested after that birthday.</t>
    </r>
  </si>
  <si>
    <t>Separate analysis shows attaining age of criminal majority increases perceived chance of jailing 5.2% points on average. Yet no deterrence of (self-reported) criminality.</t>
  </si>
  <si>
    <t>To focus on differences within neighborhoods, the loci of randomization, best practice adds neighborhood dummies. That is done, but using differently defined neighborhoods, whose borders cross those defining court districts. In principle, creates opening for randomization failure.</t>
  </si>
  <si>
    <t>Tables IV &amp;V, cols 7, Table AV.</t>
  </si>
  <si>
    <t>Appendix shows robustness to adding dummies for finer-grained neighborhood definitions. These still do not line up with court districts and might have instrument weakness problems (no checks are reported). But they come closer and stability of results reassures.</t>
  </si>
  <si>
    <t>Lattimore et al. 2016</t>
  </si>
  <si>
    <t>Randomized trials of HOPE replications</t>
  </si>
  <si>
    <t>O'Connell, Brent, &amp; Visher 2016</t>
  </si>
  <si>
    <t>City in DE, 384 probationers</t>
  </si>
  <si>
    <t>1 county each in AR, MA, OR, TX. 1496 probationers total.</t>
  </si>
  <si>
    <t>Pending</t>
  </si>
  <si>
    <t>35%→56% paid half of outstanding obligation within 6 months, 13%→39% paid all, after being served with Violation of Probation notice carrying threat of jail time (p = .026, .001). Additional threatened sanctions such as community service and employment training made no difference</t>
  </si>
  <si>
    <t>22%→26% (p = .07) probation revocation; .83→.70 arrests (p = 0.06); .37→.38 convictions (p = .7)</t>
  </si>
  <si>
    <t>Compelling evidence that swiftness and certainty of punishment, when practical, can deter more effectively that severity. Main challenge is changing how agencies work.</t>
  </si>
  <si>
    <t>Randomized trial of HOPE replication</t>
  </si>
  <si>
    <t>Rearrest or reconviction or probation revocation within 650 days of randomization</t>
  </si>
  <si>
    <t>Rearrest or reconviction or probation revocation within 18 months of randomization</t>
  </si>
  <si>
    <t>21%→30% (p = .05) probation revocation; 56%→53% any arrest for new crime (p = 0.55); 47%→49% any reincarceration (p = .84)</t>
  </si>
  <si>
    <t>Warning that swift and certain not a slam-dunk. Reasons for smaller impacts than in HI unclear. Possibly complementary support services less available or effective.</t>
  </si>
  <si>
    <t>See previous.</t>
  </si>
  <si>
    <t>Dobbie, Goldin, &amp; Yang 2016</t>
  </si>
  <si>
    <t>Bhuller et al. 2016</t>
  </si>
  <si>
    <t>Far larger, more complex than previous judge randomization studies. Defines outcome 3 ways from 3 sources. Omits many details such as average sentence.</t>
  </si>
  <si>
    <t>Table 4, col. 2. Table 7, panel C, col. 2. Table E.1</t>
  </si>
  <si>
    <t>Arrest within 2 years after bail hearing, including pre-trial period</t>
  </si>
  <si>
    <t>Corroborates Green &amp; Winik, Loeffler, Nagin &amp; Snodgrass in suggesting that incapacitation is real but offset over longer run by harmful aftereffects.</t>
  </si>
  <si>
    <t>January 2017 version, Tables 2, 4</t>
  </si>
  <si>
    <t>Random assignment among judges serving a given jurisdiction some more likely to incarcerate</t>
  </si>
  <si>
    <t>~420,000 bail hearing appearances, Philadelphia &amp; Miami-Dade, 2007–14</t>
  </si>
  <si>
    <t>33,509 court appearances, Norway, 2005–09</t>
  </si>
  <si>
    <t>Charge for new crime within 5 years after trial</t>
  </si>
  <si>
    <t>Further analysis shows results confined to those who lacked work in 5 years before trial.</t>
  </si>
  <si>
    <t>Credibility</t>
  </si>
  <si>
    <t>High</t>
  </si>
  <si>
    <t>Low</t>
  </si>
  <si>
    <t>Medium</t>
  </si>
  <si>
    <t>Medium: best fixes to discovered problems don't change results</t>
  </si>
  <si>
    <t>Interpreted mainly as incapacitation</t>
  </si>
  <si>
    <t>Essentially non-contradictory in that impact is mild if taken at face value and anyway best explained by baseline imbalance</t>
  </si>
  <si>
    <t>Non-contradictory in being premised upon an incorrect reading of the law</t>
  </si>
  <si>
    <t>Strongly compatibe after reanalysis, which finds no bend in gun-crime trend after gun add-ons adopted.</t>
  </si>
  <si>
    <t>Neutral since compares incarceration to intensively supervised release</t>
  </si>
  <si>
    <t>Mildly supportive since imperfect fixes to discovered problems don't contradict that incapacitation is real</t>
  </si>
  <si>
    <t>Strongly supportive</t>
  </si>
  <si>
    <r>
      <t xml:space="preserve">Moderately incompatible: result </t>
    </r>
    <r>
      <rPr>
        <i/>
        <sz val="9"/>
        <color theme="1"/>
        <rFont val="Arial"/>
        <family val="2"/>
      </rPr>
      <t>probably</t>
    </r>
    <r>
      <rPr>
        <sz val="9"/>
        <color theme="1"/>
        <rFont val="Arial"/>
        <family val="2"/>
      </rPr>
      <t xml:space="preserve"> caused by significant deterrence; but prison threat had unusual cognitive salience; and set in Italy</t>
    </r>
  </si>
  <si>
    <t>Mildly incompatible: convincingly shows deterrence, but mostly transient and in setting removed from mass incarceration</t>
  </si>
  <si>
    <t>Mildly compatible: shows small deterrence of arrest but not conviction, in setting removed from mass incarceration</t>
  </si>
  <si>
    <t>Mildly compatible: shows lack of deterrence but in setting removed from mass incarceration</t>
  </si>
  <si>
    <t>Mildly incompatible: convincingly shows deterrence from jail threat, but in setting removed from mass incarceration</t>
  </si>
  <si>
    <t>Moderately incompatible: best explanation is beneficial aftereffects, but other explanations possible and study took place ~50 years ago, in CA</t>
  </si>
  <si>
    <t xml:space="preserve">In this review, since sentences were 2 days, more important for pioneering judge randomization than for results. </t>
  </si>
  <si>
    <t>Neutral: sentences only 2 days, impact roughly 0</t>
  </si>
  <si>
    <t>Moderately supportive, showing harmful aftereffects, only doubt being coarseness of point system within which discontinuity is exploited</t>
  </si>
  <si>
    <t>Neutral: supports central interpretation, but serious concern about baseline imbalance</t>
  </si>
  <si>
    <t>Moderately supportive, showing aftereffects offsetting incapacitation; best fixes to discovered problems don't change results</t>
  </si>
  <si>
    <t>Moderately supportive, showing aftereffects offsetting incapacitation; concern about post-treatment selection bias could not be assessed for lack of data availability</t>
  </si>
  <si>
    <t>Moderately supportive, showing aftereffects offsetting incapacitation</t>
  </si>
  <si>
    <t>Neutral after reanalysis. Quasi-experiment varies two treatments collinearly so impacts of incarceration unclear</t>
  </si>
  <si>
    <t>Perhaps neutral after reanalysis. Occam's razor favors cognitive framing explanation rather than rehabilitation</t>
  </si>
  <si>
    <t>Mildly contradictory: results based on long-period difference-in-differences, not regression discontinuity, and are about incentives created by opportunity for early release, not early release per se</t>
  </si>
  <si>
    <t>Mildly contradictory: finds beneficial aftereffects, but marred by baseline imbalance</t>
  </si>
  <si>
    <t>Moderately supportive, showing weak incapacitation and strongly harmful aftereffects; no problems evident, but complex, opaque, and an outlier in effect sizes.</t>
  </si>
  <si>
    <t>Moderately incompatible: very strong study showing beneficial aftereffects, but in Norway</t>
  </si>
  <si>
    <t>Strongly supportive: compellingly shows no deterrence, some incapacitation</t>
  </si>
  <si>
    <t>Strongly supportive: compellingly shows almost no deterrence</t>
  </si>
  <si>
    <t>Moderately incompatible, showing beneficial aftereffects, main doubt being coarseness of point system within which discontinuity is exploited</t>
  </si>
  <si>
    <t>Moderately supportive, showing harmful aftereffects, only doubt being about internally inconsistent definitions of neighborhoods</t>
  </si>
  <si>
    <t>198 probationers apparently able to make court-ordered payments, 3 NJ counties, dates not clear</t>
  </si>
  <si>
    <t>330 probationers in treatment group, 163 in control, HI, 2009</t>
  </si>
  <si>
    <t>Imminent, credible risk of court proceeding and jail increased compliance.</t>
  </si>
  <si>
    <t>Random assignment of detainees to judges within a district's court, who vary in frequency of sentencing to prison vs. electronically monitored house arrest</t>
  </si>
  <si>
    <t>Replication not attempted because of time cost (only primary data available, not analysis data and code), and primary interest in incarceration vs. traditional release. Statistical significance generally not defined and many key results only presented in low-resolution bar graphs.</t>
  </si>
  <si>
    <t>Exactly replicated from analysis data set. Approximately reconstructed from primary data, which forced confrontation with missing data problem. Chose algorithmic identification of gaps and Multiple Imputation to fill them instead of Abrams focus on localities with mostly complete data and hand-correction. Expands sample 40%→80% of population. Focusing on event studies, which look for trend breaks at moment of law passage, add formal tests for such. Move to monthly data to sharpen focus on effect timing.</t>
  </si>
  <si>
    <t>Misreads law. For those with 0 or 1 strikes, only strikeable felony increases strike count, not any felony.</t>
  </si>
  <si>
    <r>
      <t xml:space="preserve">Run on an earlier snapshot of primary data, which was not shared. Replication using Ganong data very close. Time served and time recommended nearly collinear and receive equal and opposite coefficients, suggesting their difference--time commuted--is key factor, perhaps through framing effect. I.e. those serving less time had their sentences shortened more by the amnesty, which made given punishments </t>
    </r>
    <r>
      <rPr>
        <i/>
        <sz val="9"/>
        <color theme="1"/>
        <rFont val="Arial"/>
        <family val="2"/>
      </rPr>
      <t>seem</t>
    </r>
    <r>
      <rPr>
        <sz val="9"/>
        <color theme="1"/>
        <rFont val="Arial"/>
        <family val="2"/>
      </rPr>
      <t xml:space="preserve"> less punishing and reduced specific deterrence. In correspondence, Kuziemko showed the effect is stronger for first-timers than veterans.</t>
    </r>
  </si>
  <si>
    <t>Despite randomization, high-security inmates served average 16.3 months vs. 23.0 for low-security ones (p = .000) and were 23.8 vs. 24.8 years old on release (p = .029). Thus more risk here than in Chen &amp; Shapiro of conflation of impacts of quality and quantity. Also opens door to parole bias: higher-security inmates released sooner, spend more time on parole, return to prison more.</t>
  </si>
  <si>
    <t>Data set also reconstructed from primary sources. Tests added for serial correlation, cross-state heteroskedasticity, instrument validity &amp; strength. First addressed by clustering by state, second by weighting by publication. As for instrument weakness, 3 more methods tried: LIML, JIVE, and Anderson-Rubin. All these concerns and methods reflect shifting norms since publication.</t>
  </si>
  <si>
    <t>Results in graphs inarguable. Revised regressions suggest –15 crimes/releasee/year (p &lt; .001) from initial release and –30 - –34 (p &lt; .001) from prison refilling. Incarceration much lower in Italy, so maybe higher returns to incapacitation than in US.</t>
  </si>
  <si>
    <t>Data set for cross-state (but not cross-county) analysis reconstructed from primary source. Statistical year shifted to Oct. 1 so that 2011, which straddles pre- and post-treatment, can be retained. Original analysis, using synthetic control, proves fragile because crime also rose in NV, so when it is prominent in control, crime does not rise in CA comparatively. Also, while significance is assessed by comparing CA diff-diff impact to same estimated in all other states in turn (placebo impacts), comparison does not adjust for many states having poorer synthetic control matches. More traditional panel analysis corroborates original and finds more signficant impact on burglary.</t>
  </si>
  <si>
    <t>~0 for recidivism (p &gt; .6); but almost certainly – while incarcerated, implying + after release. ~0 for employment (p &gt; .7)</t>
  </si>
  <si>
    <r>
      <t xml:space="preserve">Random assignment among judges serving a given neighborhood district, some more likely to incarcerate </t>
    </r>
    <r>
      <rPr>
        <i/>
        <sz val="9"/>
        <color theme="1"/>
        <rFont val="Arial"/>
        <family val="2"/>
      </rPr>
      <t xml:space="preserve">pretrial </t>
    </r>
    <r>
      <rPr>
        <sz val="9"/>
        <color theme="1"/>
        <rFont val="Arial"/>
        <family val="2"/>
      </rPr>
      <t>defendants</t>
    </r>
  </si>
  <si>
    <r>
      <t xml:space="preserve">Two possible sources of bias: Kids sentenced in contravention to guidelines (as applied by author to data) discarded from study, including 314 of 1147 incarcerated. Post-randomization selection can bias. And since actual time served not recorded, follow-up periods start after </t>
    </r>
    <r>
      <rPr>
        <i/>
        <sz val="9"/>
        <color theme="1"/>
        <rFont val="Arial"/>
        <family val="2"/>
      </rPr>
      <t>minimum</t>
    </r>
    <r>
      <rPr>
        <sz val="9"/>
        <color theme="1"/>
        <rFont val="Arial"/>
        <family val="2"/>
      </rPr>
      <t xml:space="preserve"> possible time served, when some still incarcerated. But variant regressions in working paper version avoid both issues and produce similar, if somewhat smaller, impacts.</t>
    </r>
  </si>
  <si>
    <t>Results look credible. Greatest doubt, as with other studies using discontinuities in point systems, is that 1-point shift implied by crossing boundary may introduce endogeneity.</t>
  </si>
  <si>
    <t>367 drunk driving cases, Hennepin County, MN, 1982</t>
  </si>
  <si>
    <t>Reduced incentive for good behavior in prison led to 6% points more recidivism (p &lt; .01)</t>
  </si>
  <si>
    <t>Strong evidence that prison experience in Norway rehabilitates, perhaps mainly by preparing inmates to work after.</t>
  </si>
  <si>
    <t>Threat of punishment does deter. But in the case of drinking and driving, testing enough drivers to keep the threat live is often fiscally or politically unsustainable.</t>
  </si>
  <si>
    <t>Reanalysis with new data set, population weights, and JIVE or Anderson-Rubin overall favor sign of original results, if with less confidence.</t>
  </si>
  <si>
    <t>Cross-county results possibly biased by omitted factors correlated with key variables. Cross-state results, while corroborated, also not as persuasive Italy results because they too identify off variation over space, not purely over time. Property crime rose for ~2 years in CA and NV starting mid-2011. Occam's Razor favors realignment as cause.</t>
  </si>
  <si>
    <t>Impact of stricter incarceration policy</t>
  </si>
  <si>
    <t>Under "HOPE" name, probation management overhauled to impose swift &amp; certain sanctions, such as overnight jail time, for failure to get--or pass--drug test.</t>
  </si>
  <si>
    <t>Text overemphasizes p = .05 threshold, thus underemphasizes evidence of impact on rearrest. Still, impacts smaller than in HI and perhaps only detected because of bigger sample.</t>
  </si>
  <si>
    <t>Deterrence: severity</t>
  </si>
  <si>
    <t>Compatibility with report's synthesis</t>
  </si>
  <si>
    <t>Moderately supportive: compelling evidence of incapacitative effect on acquisitive crime in Italy</t>
  </si>
  <si>
    <t>Moderately supportive: compelling evidence of incapacitative effect on acquisitive crime in the Netherlands, from highly targeted incarceration</t>
  </si>
  <si>
    <t>Excludes effects on inmates' households; probably most in-prison crime; loss of access to public housing and services; court and policing costs and savings; ambient impact of changed crime rate; and drug, DUI, misdemeanor, white collar, and other crimes. Lower benefit estimates exclude value of stolen property.</t>
  </si>
  <si>
    <t>Probation/parole revocation for felony charge</t>
  </si>
  <si>
    <t>Motor vehicle theft</t>
  </si>
  <si>
    <t>Larceny/theft</t>
  </si>
  <si>
    <t>Burglary</t>
  </si>
  <si>
    <t>Robbery</t>
  </si>
  <si>
    <t>Aggravated assault</t>
  </si>
  <si>
    <t>Rape</t>
  </si>
  <si>
    <t>Murder</t>
  </si>
  <si>
    <t>Costs (devil’s-advocate case)</t>
  </si>
  <si>
    <t>Prevented earnings after, 5 years</t>
  </si>
  <si>
    <t>Prevented earnings loss during</t>
  </si>
  <si>
    <t>Gained liberty</t>
  </si>
  <si>
    <t>Less: value of food, housing, etc.</t>
  </si>
  <si>
    <t>Reduced prison operation</t>
  </si>
  <si>
    <t>Benefits (primary &amp; devil’s-advocate cases)</t>
  </si>
  <si>
    <t>Total</t>
  </si>
  <si>
    <t>Incapacitation</t>
  </si>
  <si>
    <t>Deterrence</t>
  </si>
  <si>
    <t>Total (2010 $1,000)</t>
  </si>
  <si>
    <t>Crimes caused</t>
  </si>
  <si>
    <t>Results</t>
  </si>
  <si>
    <t>Low cost estimate for robbery is average of those for armed and simple robbery. High estimate for robbery is that for armed robbery, adjusted by same scale factor.</t>
  </si>
  <si>
    <t>Harm/incident, high, murder allocated, 2000 $1,000</t>
  </si>
  <si>
    <t>Cohen et al. (2004)--willingness-to-pay surveys, http://poseidon01.ssrn.com/delivery.php?ID=841115116081095118024018091122093119072072028038038067092083105000022073119052098009016038047022017124021111010126015012009063104101118001125064070003024070054081007073084126086030067027121031072090121086105117091125079117071006018031123123026&amp;EXT=pdf#page=37</t>
  </si>
  <si>
    <t>Harm/incident, high, 2000 $1,000</t>
  </si>
  <si>
    <t>Harm/incident, low, murder allocated, 2008 $1,000</t>
  </si>
  <si>
    <t>McCollister, French, and Fang 2010, Tables 3 &amp; 4, victim and pain &amp; suffering costs only</t>
  </si>
  <si>
    <t>Harm/incident, low, 2008 $1,000</t>
  </si>
  <si>
    <t>FBI UCR monthly data, from http://www.icpsr.umich.edu/</t>
  </si>
  <si>
    <t>Arrests/reported crime, Georgia, 1996</t>
  </si>
  <si>
    <t>standard errors</t>
  </si>
  <si>
    <t>10-year post-release totals, Roodman RDD, grid FE only</t>
  </si>
  <si>
    <t>Aftereffects: Georgia, 1993 grid revision, felony returns to prison</t>
  </si>
  <si>
    <t>Roodman diff-diff regressions</t>
  </si>
  <si>
    <t>Incapacitation: California, post-realignment, committed</t>
  </si>
  <si>
    <t>http://web.archive.org/web/20160420165615/http://www.bjs.gov/content/pub/pdf/cv14.pdf, Appendix Table 7</t>
  </si>
  <si>
    <t>http://web.archive.org/web/20170108000116/https://www.bjs.gov/content/pub/pdf/cv15.pdf, Table 4</t>
  </si>
  <si>
    <t>Crime victimization reporting rate, 2015</t>
  </si>
  <si>
    <t>http://www.fbi.gov/about-us/cjis/ucr/crime-in-the-u.s/2015/crime-in-the-u.s.-2015/tables/table-1</t>
  </si>
  <si>
    <t>Crimes reported, US, 2015</t>
  </si>
  <si>
    <t>Count?</t>
  </si>
  <si>
    <t>Roodman</t>
  </si>
  <si>
    <t>No</t>
  </si>
  <si>
    <t>"Crime of passion"?</t>
  </si>
  <si>
    <t>Source</t>
  </si>
  <si>
    <t>Felony charge revocations</t>
  </si>
  <si>
    <t>Larceny/ theft</t>
  </si>
  <si>
    <t>Consumer Price Index 2010</t>
  </si>
  <si>
    <t>Consumer Price Index 2008</t>
  </si>
  <si>
    <t>http://download.bls.gov/pub/time.series/cu/cu.data.1.AllItems, series CUUR0000SA0</t>
  </si>
  <si>
    <t>Consumer Price Index 2000</t>
  </si>
  <si>
    <t>Jailed, end-2015</t>
  </si>
  <si>
    <t>http://web.archive.org/web/20170113150140/https://www.bjs.gov/content/pub/pdf/cpus15.pdf#page=2</t>
  </si>
  <si>
    <t>Prisoners, end-2015</t>
  </si>
  <si>
    <t>(Compare "Amputation of both legs: long term, without treatment" at http://web.archive.org/web/20160304104002/http://www.who.int/healthinfo/statistics/GlobalDALYmethods_2000_2011.pdf#page=81).</t>
  </si>
  <si>
    <t>Disability weight of incarceration</t>
  </si>
  <si>
    <t>Braithwaite et al. (2008, Table 4, excluding children), http://web.archive.org/web/20160427011254/http://www.med.mcgill.ca/epidemiology/courses/EPIB654/Summer2010/Policy/cost%20per%20QALY%20threshold%20Med%20Care.pdf#page=5</t>
  </si>
  <si>
    <t>Value of QALY</t>
  </si>
  <si>
    <t>Pew Center on the States (2012), Table 1, estimates 2.9, https://web.archive.org/web/20160502211120/http://www.pewtrusts.org/~/media/assets/2012/06/6/time_served_report.pdf#page=15</t>
  </si>
  <si>
    <t>Average length of stay (years)</t>
  </si>
  <si>
    <t>Earnings loss, post-incarceration, per year held</t>
  </si>
  <si>
    <t>Earnings loss, post-incarceration, per spell</t>
  </si>
  <si>
    <t>Mueller-Smith, Table 7, https://web.archive.org/web/20150920073258/http:/sites.lsa.umich.edu/mgms/wp-content/uploads/sites/283/2015/09/incar.pdf#page=29</t>
  </si>
  <si>
    <t>Earnings loss, incapacitation (2010 $/year)</t>
  </si>
  <si>
    <t xml:space="preserve">Donohue (2009), Table 9.10, shows $2990 for medical care, $1088 for food, $905 for utilities. </t>
  </si>
  <si>
    <t>Transfer value of food, housing, etc.</t>
  </si>
  <si>
    <t>Vera Institute, http://web.archive.org/web/20160304220726/http://www.vera.org/sites/default/files/resources/downloads/price-of-prisons-updated-version-021914.pdf#page=10</t>
  </si>
  <si>
    <t>Taxpayer cost/prisoner, 2010</t>
  </si>
  <si>
    <t>Allocate murder costs to other crimes for precision?</t>
  </si>
  <si>
    <t>Checked: Green &amp; Winik/DC; unchecked: Ganong/Georgia reanalysis</t>
  </si>
  <si>
    <t>Aftereffects: best case for decarceration?</t>
  </si>
  <si>
    <t>Checked: Green &amp; Winik/DC; unchecked: Lofstrom &amp; Raphael/California reanalysis</t>
  </si>
  <si>
    <t>Incapacitation: best case for decarceration?</t>
  </si>
  <si>
    <t>Checked: deterrence of murder, rape, assault</t>
  </si>
  <si>
    <t>Deterrence of "crimes of passion" too?</t>
  </si>
  <si>
    <t xml:space="preserve">Checked: 0 (reanalyses of Helland &amp; Tabarrok 2007); unchecked: –0.1 (Helland &amp; Tabarrok 2007; Abrams 2012); </t>
  </si>
  <si>
    <t>Deterrence: best case for decarceration?</t>
  </si>
  <si>
    <t>Source &amp; notes</t>
  </si>
  <si>
    <t>Parameter</t>
  </si>
  <si>
    <t>Total, first two</t>
  </si>
  <si>
    <t>Risk of homicide</t>
  </si>
  <si>
    <t>Pain &amp; suffering</t>
  </si>
  <si>
    <t>Victim cost</t>
  </si>
  <si>
    <t>Larceny-theft</t>
  </si>
  <si>
    <t>(Household) Burglary</t>
  </si>
  <si>
    <t>McCollister, French, and Fang 2010, Tables 3 &amp; 4 (2008$)</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</si>
</sst>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44" formatCode="_(&quot;$&quot;* #,##0.00_);_(&quot;$&quot;* \(#,##0.00\);_(&quot;$&quot;* &quot;-&quot;??_);_(@_)"/>
    <numFmt numFmtId="43" formatCode="_(* #,##0.00_);_(* \(#,##0.00\);_(* &quot;-&quot;??_);_(@_)"/>
    <numFmt numFmtId="164" formatCode="\+0.00;\–0.00"/>
    <numFmt numFmtId="165" formatCode="\(0,\)"/>
    <numFmt numFmtId="166" formatCode="&quot;(&quot;0.00&quot;)&quot;"/>
    <numFmt numFmtId="167" formatCode="0,;&quot;–&quot;0,"/>
    <numFmt numFmtId="168" formatCode="0.00;&quot;–&quot;0.00"/>
    <numFmt numFmtId="169" formatCode="&quot;(&quot;0.0000&quot;)&quot;"/>
    <numFmt numFmtId="170" formatCode="#,##0.0000"/>
    <numFmt numFmtId="171" formatCode="0.0000;&quot;–&quot;0.0000"/>
    <numFmt numFmtId="172" formatCode="0.000000%"/>
    <numFmt numFmtId="173" formatCode="0,"/>
    <numFmt numFmtId="174" formatCode="0.0"/>
    <numFmt numFmtId="175" formatCode="0.0%"/>
    <numFmt numFmtId="176" formatCode="0.00000"/>
    <numFmt numFmtId="177" formatCode="0.0000"/>
    <numFmt numFmtId="178" formatCode="&quot;(&quot;0.000&quot;)&quot;"/>
    <numFmt numFmtId="179" formatCode="&quot;Yes&quot;;;&quot;No&quot;"/>
    <numFmt numFmtId="180" formatCode="&quot;$&quot;#,##0"/>
    <numFmt numFmtId="181" formatCode="&quot;Yes&quot;;&quot;Yes&quot;;&quot;No&quot;"/>
  </numFmts>
  <fonts count="16" x14ac:knownFonts="1">
    <font>
      <sz val="11"/>
      <color theme="1"/>
      <name val="Calibri"/>
      <family val="2"/>
      <scheme val="minor"/>
    </font>
    <font>
      <sz val="11"/>
      <color theme="1"/>
      <name val="Calibri"/>
      <family val="2"/>
      <scheme val="minor"/>
    </font>
    <font>
      <sz val="10"/>
      <color theme="1"/>
      <name val="Arial"/>
      <family val="2"/>
    </font>
    <font>
      <sz val="11"/>
      <color theme="1"/>
      <name val="Arial"/>
      <family val="2"/>
    </font>
    <font>
      <b/>
      <sz val="9"/>
      <color theme="1"/>
      <name val="Arial"/>
      <family val="2"/>
    </font>
    <font>
      <sz val="9"/>
      <color theme="1"/>
      <name val="Arial"/>
      <family val="2"/>
    </font>
    <font>
      <sz val="9"/>
      <color theme="1"/>
      <name val="Symbol"/>
      <family val="1"/>
      <charset val="2"/>
    </font>
    <font>
      <i/>
      <sz val="9"/>
      <color theme="1"/>
      <name val="Arial"/>
      <family val="2"/>
    </font>
    <font>
      <vertAlign val="superscript"/>
      <sz val="9"/>
      <color theme="1"/>
      <name val="Arial"/>
      <family val="2"/>
    </font>
    <font>
      <b/>
      <sz val="11"/>
      <color theme="1"/>
      <name val="Calibri"/>
      <family val="2"/>
      <scheme val="minor"/>
    </font>
    <font>
      <sz val="11"/>
      <color theme="1"/>
      <name val="Garamond"/>
      <family val="1"/>
    </font>
    <font>
      <i/>
      <sz val="11"/>
      <color theme="1"/>
      <name val="Garamond"/>
      <family val="1"/>
    </font>
    <font>
      <b/>
      <sz val="11"/>
      <color theme="1"/>
      <name val="Garamond"/>
      <family val="1"/>
    </font>
    <font>
      <u/>
      <sz val="11"/>
      <color theme="10"/>
      <name val="Calibri"/>
      <family val="2"/>
      <scheme val="minor"/>
    </font>
    <font>
      <u/>
      <sz val="11"/>
      <color theme="10"/>
      <name val="Garamond"/>
      <family val="1"/>
    </font>
    <font>
      <sz val="11"/>
      <color theme="0"/>
      <name val="Garamond"/>
      <family val="1"/>
    </font>
  </fonts>
  <fills count="11">
    <fill>
      <patternFill patternType="none"/>
    </fill>
    <fill>
      <patternFill patternType="gray125"/>
    </fill>
    <fill>
      <patternFill patternType="solid">
        <fgColor theme="9" tint="0.39997558519241921"/>
        <bgColor indexed="64"/>
      </patternFill>
    </fill>
    <fill>
      <patternFill patternType="solid">
        <fgColor theme="4" tint="0.39997558519241921"/>
        <bgColor indexed="64"/>
      </patternFill>
    </fill>
    <fill>
      <patternFill patternType="solid">
        <fgColor rgb="FFFFFFB9"/>
        <bgColor indexed="64"/>
      </patternFill>
    </fill>
    <fill>
      <patternFill patternType="solid">
        <fgColor rgb="FFC7E6A4"/>
        <bgColor indexed="64"/>
      </patternFill>
    </fill>
    <fill>
      <patternFill patternType="solid">
        <fgColor rgb="FFFFFF33"/>
        <bgColor indexed="64"/>
      </patternFill>
    </fill>
    <fill>
      <patternFill patternType="solid">
        <fgColor theme="0"/>
        <bgColor indexed="64"/>
      </patternFill>
    </fill>
    <fill>
      <patternFill patternType="solid">
        <fgColor rgb="FF9AD25C"/>
        <bgColor indexed="64"/>
      </patternFill>
    </fill>
    <fill>
      <patternFill patternType="solid">
        <fgColor rgb="FFFFFFFF"/>
        <bgColor indexed="64"/>
      </patternFill>
    </fill>
    <fill>
      <patternFill patternType="solid">
        <fgColor rgb="FFB4DE86"/>
        <bgColor indexed="64"/>
      </patternFill>
    </fill>
  </fills>
  <borders count="5">
    <border>
      <left/>
      <right/>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cellStyleXfs>
  <cellXfs count="147">
    <xf numFmtId="0" fontId="0" fillId="0" borderId="0" xfId="0"/>
    <xf numFmtId="0" fontId="2" fillId="0" borderId="0" xfId="0" applyFont="1" applyAlignment="1">
      <alignment wrapText="1"/>
    </xf>
    <xf numFmtId="0" fontId="2" fillId="0" borderId="0" xfId="0" applyNumberFormat="1" applyFont="1" applyAlignment="1">
      <alignment horizontal="left" wrapText="1"/>
    </xf>
    <xf numFmtId="0" fontId="3" fillId="0" borderId="0" xfId="0" applyFont="1"/>
    <xf numFmtId="0" fontId="5" fillId="0" borderId="0" xfId="0" applyFont="1" applyAlignment="1">
      <alignment horizontal="left" vertical="top" wrapText="1"/>
    </xf>
    <xf numFmtId="0" fontId="5" fillId="0" borderId="0" xfId="1" applyNumberFormat="1" applyFont="1" applyAlignment="1">
      <alignment horizontal="center" vertical="top" wrapText="1"/>
    </xf>
    <xf numFmtId="0" fontId="5" fillId="0" borderId="0" xfId="0" applyFont="1" applyAlignment="1">
      <alignment vertical="top" wrapText="1"/>
    </xf>
    <xf numFmtId="0" fontId="5" fillId="0" borderId="0" xfId="0" quotePrefix="1" applyFont="1" applyAlignment="1">
      <alignment horizontal="left" vertical="top" wrapText="1"/>
    </xf>
    <xf numFmtId="0" fontId="5" fillId="0" borderId="0" xfId="0" quotePrefix="1" applyNumberFormat="1" applyFont="1" applyAlignment="1">
      <alignment horizontal="center" vertical="top" wrapText="1"/>
    </xf>
    <xf numFmtId="0" fontId="5" fillId="0" borderId="0" xfId="0" applyNumberFormat="1" applyFont="1" applyAlignment="1">
      <alignment horizontal="center" vertical="top" wrapText="1"/>
    </xf>
    <xf numFmtId="10" fontId="5" fillId="0" borderId="0" xfId="0" applyNumberFormat="1" applyFont="1" applyAlignment="1">
      <alignment horizontal="left" vertical="top" wrapText="1"/>
    </xf>
    <xf numFmtId="0" fontId="5" fillId="0" borderId="0" xfId="0" quotePrefix="1" applyFont="1" applyAlignment="1">
      <alignment vertical="top" wrapText="1"/>
    </xf>
    <xf numFmtId="10" fontId="5" fillId="0" borderId="0" xfId="0" quotePrefix="1" applyNumberFormat="1" applyFont="1" applyAlignment="1">
      <alignment horizontal="left" vertical="top" wrapText="1"/>
    </xf>
    <xf numFmtId="0" fontId="5" fillId="0" borderId="0" xfId="0" applyFont="1" applyAlignment="1">
      <alignment wrapText="1"/>
    </xf>
    <xf numFmtId="0" fontId="5" fillId="0" borderId="0" xfId="0" applyNumberFormat="1" applyFont="1" applyAlignment="1">
      <alignment horizontal="left" wrapText="1"/>
    </xf>
    <xf numFmtId="0" fontId="5" fillId="0" borderId="0" xfId="0" applyFont="1"/>
    <xf numFmtId="0" fontId="5" fillId="0" borderId="0" xfId="0" applyFont="1" applyAlignment="1"/>
    <xf numFmtId="0" fontId="5" fillId="2" borderId="0" xfId="0" applyNumberFormat="1" applyFont="1" applyFill="1" applyBorder="1" applyAlignment="1">
      <alignment horizontal="left" wrapText="1"/>
    </xf>
    <xf numFmtId="0" fontId="5" fillId="2" borderId="0" xfId="0" applyFont="1" applyFill="1" applyBorder="1" applyAlignment="1">
      <alignment horizontal="center" wrapText="1"/>
    </xf>
    <xf numFmtId="0" fontId="5" fillId="2" borderId="0" xfId="0" applyFont="1" applyFill="1" applyAlignment="1">
      <alignment wrapText="1"/>
    </xf>
    <xf numFmtId="0" fontId="4" fillId="2" borderId="0" xfId="0" applyFont="1" applyFill="1" applyAlignment="1">
      <alignment horizontal="left" vertical="center"/>
    </xf>
    <xf numFmtId="0" fontId="4" fillId="2" borderId="0" xfId="0" applyFont="1" applyFill="1" applyAlignment="1">
      <alignment horizontal="left" vertical="center" wrapText="1"/>
    </xf>
    <xf numFmtId="0" fontId="5" fillId="2" borderId="0" xfId="0" applyFont="1" applyFill="1" applyAlignment="1">
      <alignment vertical="center" wrapText="1"/>
    </xf>
    <xf numFmtId="0" fontId="5" fillId="2" borderId="0" xfId="0" applyNumberFormat="1" applyFont="1" applyFill="1" applyAlignment="1">
      <alignment horizontal="center" vertical="center" wrapText="1"/>
    </xf>
    <xf numFmtId="0" fontId="4" fillId="2" borderId="0" xfId="0" applyFont="1" applyFill="1" applyAlignment="1">
      <alignment horizontal="left" vertical="top"/>
    </xf>
    <xf numFmtId="0" fontId="4" fillId="2" borderId="0" xfId="0" applyFont="1" applyFill="1" applyAlignment="1">
      <alignment horizontal="left" vertical="top" wrapText="1"/>
    </xf>
    <xf numFmtId="0" fontId="5" fillId="2" borderId="0" xfId="0" applyFont="1" applyFill="1" applyAlignment="1">
      <alignment horizontal="left" vertical="top" wrapText="1"/>
    </xf>
    <xf numFmtId="0" fontId="5" fillId="2" borderId="0" xfId="0" applyNumberFormat="1" applyFont="1" applyFill="1" applyAlignment="1">
      <alignment horizontal="center" vertical="top" wrapText="1"/>
    </xf>
    <xf numFmtId="0" fontId="4" fillId="2" borderId="0" xfId="0" applyFont="1" applyFill="1" applyAlignment="1">
      <alignment vertical="center" wrapText="1"/>
    </xf>
    <xf numFmtId="0" fontId="4" fillId="2" borderId="0" xfId="0" applyFont="1" applyFill="1" applyBorder="1" applyAlignment="1">
      <alignment horizontal="left"/>
    </xf>
    <xf numFmtId="0" fontId="4" fillId="2" borderId="0" xfId="0" applyFont="1" applyFill="1" applyBorder="1" applyAlignment="1">
      <alignment horizontal="left" wrapText="1"/>
    </xf>
    <xf numFmtId="0" fontId="5" fillId="0" borderId="0" xfId="0" applyFont="1" applyBorder="1" applyAlignment="1">
      <alignment vertical="top" wrapText="1"/>
    </xf>
    <xf numFmtId="0" fontId="5" fillId="0" borderId="0" xfId="0" quotePrefix="1" applyFont="1" applyBorder="1" applyAlignment="1">
      <alignment vertical="top" wrapText="1"/>
    </xf>
    <xf numFmtId="0" fontId="2" fillId="0" borderId="0" xfId="0" applyFont="1" applyBorder="1" applyAlignment="1">
      <alignment horizontal="left" wrapText="1"/>
    </xf>
    <xf numFmtId="0" fontId="5" fillId="3" borderId="0" xfId="0" applyFont="1" applyFill="1" applyAlignment="1">
      <alignment horizontal="left" vertical="top" wrapText="1"/>
    </xf>
    <xf numFmtId="0" fontId="5" fillId="3" borderId="0" xfId="0" applyFont="1" applyFill="1" applyAlignment="1">
      <alignment vertical="top" wrapText="1"/>
    </xf>
    <xf numFmtId="0" fontId="5" fillId="3" borderId="0" xfId="0" quotePrefix="1" applyFont="1" applyFill="1" applyAlignment="1">
      <alignment vertical="top" wrapText="1"/>
    </xf>
    <xf numFmtId="0" fontId="5" fillId="3" borderId="0" xfId="0" quotePrefix="1" applyNumberFormat="1" applyFont="1" applyFill="1" applyAlignment="1">
      <alignment horizontal="center" vertical="top" wrapText="1"/>
    </xf>
    <xf numFmtId="0" fontId="5" fillId="3" borderId="0" xfId="0" applyNumberFormat="1" applyFont="1" applyFill="1" applyAlignment="1">
      <alignment horizontal="center" vertical="top" wrapText="1"/>
    </xf>
    <xf numFmtId="0" fontId="5" fillId="3" borderId="0" xfId="0" quotePrefix="1" applyFont="1" applyFill="1" applyAlignment="1">
      <alignment horizontal="left" vertical="top" wrapText="1"/>
    </xf>
    <xf numFmtId="0" fontId="5" fillId="3" borderId="0" xfId="0" quotePrefix="1" applyFont="1" applyFill="1" applyAlignment="1">
      <alignment horizontal="center" vertical="top" wrapText="1"/>
    </xf>
    <xf numFmtId="0" fontId="5" fillId="3" borderId="0" xfId="1" quotePrefix="1" applyNumberFormat="1" applyFont="1" applyFill="1" applyAlignment="1">
      <alignment horizontal="left" vertical="top" wrapText="1"/>
    </xf>
    <xf numFmtId="0" fontId="5" fillId="3" borderId="0" xfId="1" applyNumberFormat="1" applyFont="1" applyFill="1" applyAlignment="1">
      <alignment horizontal="center" vertical="top" wrapText="1"/>
    </xf>
    <xf numFmtId="0" fontId="5" fillId="3" borderId="0" xfId="1" applyNumberFormat="1" applyFont="1" applyFill="1" applyAlignment="1">
      <alignment vertical="top" wrapText="1"/>
    </xf>
    <xf numFmtId="164" fontId="5" fillId="3" borderId="0" xfId="0" applyNumberFormat="1" applyFont="1" applyFill="1" applyAlignment="1">
      <alignment horizontal="center" vertical="top" wrapText="1"/>
    </xf>
    <xf numFmtId="0" fontId="5" fillId="0" borderId="0" xfId="0" applyNumberFormat="1" applyFont="1" applyAlignment="1">
      <alignment vertical="top" wrapText="1"/>
    </xf>
    <xf numFmtId="0" fontId="5" fillId="4" borderId="0" xfId="0" applyFont="1" applyFill="1" applyAlignment="1">
      <alignment vertical="top" wrapText="1"/>
    </xf>
    <xf numFmtId="0" fontId="5" fillId="5" borderId="0" xfId="0" applyFont="1" applyFill="1" applyAlignment="1">
      <alignment vertical="top" wrapText="1"/>
    </xf>
    <xf numFmtId="0" fontId="5" fillId="6" borderId="0" xfId="0" applyFont="1" applyFill="1" applyAlignment="1">
      <alignment vertical="top" wrapText="1"/>
    </xf>
    <xf numFmtId="0" fontId="5" fillId="7" borderId="0" xfId="0" applyFont="1" applyFill="1" applyAlignment="1">
      <alignment vertical="top" wrapText="1"/>
    </xf>
    <xf numFmtId="0" fontId="5" fillId="8" borderId="0" xfId="0" applyFont="1" applyFill="1" applyAlignment="1">
      <alignment vertical="top" wrapText="1"/>
    </xf>
    <xf numFmtId="0" fontId="5" fillId="9" borderId="0" xfId="0" applyFont="1" applyFill="1" applyAlignment="1">
      <alignment vertical="top" wrapText="1"/>
    </xf>
    <xf numFmtId="0" fontId="5" fillId="10" borderId="0" xfId="0" applyFont="1" applyFill="1" applyAlignment="1">
      <alignment vertical="top" wrapText="1"/>
    </xf>
    <xf numFmtId="0" fontId="5" fillId="2" borderId="0" xfId="0" applyFont="1" applyFill="1" applyAlignment="1">
      <alignment horizontal="center" vertical="center" wrapText="1"/>
    </xf>
    <xf numFmtId="0" fontId="5" fillId="0" borderId="0" xfId="0" applyFont="1" applyAlignment="1">
      <alignment horizontal="center" vertical="top" wrapText="1"/>
    </xf>
    <xf numFmtId="0" fontId="5" fillId="3" borderId="0" xfId="0" applyFont="1" applyFill="1" applyAlignment="1">
      <alignment horizontal="center" vertical="top" wrapText="1"/>
    </xf>
    <xf numFmtId="0" fontId="5" fillId="2" borderId="0" xfId="0" applyFont="1" applyFill="1" applyAlignment="1">
      <alignment horizontal="center" vertical="top" wrapText="1"/>
    </xf>
    <xf numFmtId="0" fontId="5" fillId="0" borderId="0" xfId="0" applyFont="1" applyAlignment="1">
      <alignment horizontal="center" wrapText="1"/>
    </xf>
    <xf numFmtId="0" fontId="0" fillId="0" borderId="0" xfId="0" applyAlignment="1">
      <alignment horizontal="center"/>
    </xf>
    <xf numFmtId="0" fontId="2" fillId="0" borderId="0" xfId="0" applyNumberFormat="1" applyFont="1" applyBorder="1" applyAlignment="1">
      <alignment horizontal="left" wrapText="1"/>
    </xf>
    <xf numFmtId="0" fontId="10" fillId="0" borderId="0" xfId="0" applyFont="1"/>
    <xf numFmtId="0" fontId="10" fillId="0" borderId="0" xfId="0" applyNumberFormat="1" applyFont="1"/>
    <xf numFmtId="3" fontId="10" fillId="0" borderId="0" xfId="2" applyNumberFormat="1" applyFont="1" applyBorder="1"/>
    <xf numFmtId="165" fontId="10" fillId="0" borderId="0" xfId="2" applyNumberFormat="1" applyFont="1" applyBorder="1" applyAlignment="1">
      <alignment horizontal="center"/>
    </xf>
    <xf numFmtId="166" fontId="10" fillId="0" borderId="0" xfId="0" applyNumberFormat="1" applyFont="1" applyAlignment="1">
      <alignment horizontal="center"/>
    </xf>
    <xf numFmtId="2" fontId="10" fillId="0" borderId="0" xfId="2" applyNumberFormat="1" applyFont="1" applyBorder="1" applyAlignment="1">
      <alignment horizontal="center"/>
    </xf>
    <xf numFmtId="0" fontId="10" fillId="0" borderId="0" xfId="0" applyFont="1" applyBorder="1" applyAlignment="1">
      <alignment horizontal="left" indent="1"/>
    </xf>
    <xf numFmtId="167" fontId="10" fillId="0" borderId="0" xfId="2" applyNumberFormat="1" applyFont="1" applyBorder="1" applyAlignment="1">
      <alignment horizontal="center"/>
    </xf>
    <xf numFmtId="168" fontId="10" fillId="0" borderId="0" xfId="2" applyNumberFormat="1" applyFont="1" applyBorder="1" applyAlignment="1">
      <alignment horizontal="center"/>
    </xf>
    <xf numFmtId="0" fontId="10" fillId="0" borderId="0" xfId="0" applyFont="1" applyBorder="1" applyAlignment="1">
      <alignment horizontal="left" wrapText="1" indent="1"/>
    </xf>
    <xf numFmtId="169" fontId="10" fillId="0" borderId="0" xfId="0" applyNumberFormat="1" applyFont="1" applyAlignment="1">
      <alignment horizontal="center"/>
    </xf>
    <xf numFmtId="170" fontId="10" fillId="0" borderId="0" xfId="2" applyNumberFormat="1" applyFont="1" applyBorder="1" applyAlignment="1">
      <alignment horizontal="center"/>
    </xf>
    <xf numFmtId="171" fontId="10" fillId="0" borderId="0" xfId="2" applyNumberFormat="1" applyFont="1" applyBorder="1" applyAlignment="1">
      <alignment horizontal="center"/>
    </xf>
    <xf numFmtId="3" fontId="12" fillId="0" borderId="0" xfId="0" applyNumberFormat="1" applyFont="1"/>
    <xf numFmtId="172" fontId="10" fillId="0" borderId="0" xfId="3" applyNumberFormat="1" applyFont="1" applyBorder="1"/>
    <xf numFmtId="167" fontId="12" fillId="0" borderId="0" xfId="2" applyNumberFormat="1" applyFont="1" applyBorder="1" applyAlignment="1">
      <alignment horizontal="center"/>
    </xf>
    <xf numFmtId="166" fontId="12" fillId="0" borderId="0" xfId="0" applyNumberFormat="1" applyFont="1" applyAlignment="1">
      <alignment horizontal="center"/>
    </xf>
    <xf numFmtId="2" fontId="12" fillId="0" borderId="0" xfId="2" applyNumberFormat="1" applyFont="1" applyBorder="1" applyAlignment="1">
      <alignment horizontal="center"/>
    </xf>
    <xf numFmtId="0" fontId="10" fillId="0" borderId="0" xfId="0" applyFont="1" applyBorder="1"/>
    <xf numFmtId="168" fontId="12" fillId="0" borderId="0" xfId="2" applyNumberFormat="1" applyFont="1" applyBorder="1" applyAlignment="1">
      <alignment horizontal="center"/>
    </xf>
    <xf numFmtId="0" fontId="12" fillId="0" borderId="2" xfId="0" applyFont="1" applyBorder="1"/>
    <xf numFmtId="173" fontId="10" fillId="0" borderId="0" xfId="0" applyNumberFormat="1" applyFont="1"/>
    <xf numFmtId="173" fontId="10" fillId="0" borderId="0" xfId="2" applyNumberFormat="1" applyFont="1" applyBorder="1"/>
    <xf numFmtId="0" fontId="10" fillId="0" borderId="2" xfId="0" applyFont="1" applyBorder="1" applyAlignment="1">
      <alignment horizontal="left" indent="1"/>
    </xf>
    <xf numFmtId="174" fontId="10" fillId="0" borderId="0" xfId="0" applyNumberFormat="1" applyFont="1" applyBorder="1" applyAlignment="1"/>
    <xf numFmtId="0" fontId="10" fillId="0" borderId="0" xfId="0" applyFont="1" applyBorder="1" applyAlignment="1">
      <alignment horizontal="left" indent="2"/>
    </xf>
    <xf numFmtId="0" fontId="10" fillId="0" borderId="2" xfId="0" applyFont="1" applyBorder="1" applyAlignment="1">
      <alignment horizontal="left" indent="2"/>
    </xf>
    <xf numFmtId="172" fontId="10" fillId="0" borderId="0" xfId="3" applyNumberFormat="1" applyFont="1"/>
    <xf numFmtId="3" fontId="12" fillId="0" borderId="0" xfId="2" applyNumberFormat="1" applyFont="1" applyBorder="1"/>
    <xf numFmtId="0" fontId="12" fillId="0" borderId="3" xfId="0" applyFont="1" applyBorder="1"/>
    <xf numFmtId="0" fontId="10" fillId="0" borderId="0" xfId="0" applyFont="1" applyBorder="1" applyAlignment="1">
      <alignment horizontal="center"/>
    </xf>
    <xf numFmtId="0" fontId="10" fillId="0" borderId="4" xfId="0" applyFont="1" applyFill="1" applyBorder="1" applyAlignment="1">
      <alignment horizontal="center"/>
    </xf>
    <xf numFmtId="0" fontId="10" fillId="0" borderId="4" xfId="0" applyFont="1" applyBorder="1" applyAlignment="1">
      <alignment horizontal="center"/>
    </xf>
    <xf numFmtId="0" fontId="11" fillId="0" borderId="0" xfId="0" applyFont="1" applyFill="1" applyBorder="1"/>
    <xf numFmtId="3" fontId="10" fillId="0" borderId="0" xfId="0" applyNumberFormat="1" applyFont="1"/>
    <xf numFmtId="0" fontId="12" fillId="0" borderId="0" xfId="0" applyFont="1" applyFill="1" applyBorder="1"/>
    <xf numFmtId="1" fontId="10" fillId="0" borderId="0" xfId="0" applyNumberFormat="1" applyFont="1"/>
    <xf numFmtId="174" fontId="11" fillId="0" borderId="4" xfId="0" applyNumberFormat="1" applyFont="1" applyBorder="1"/>
    <xf numFmtId="174" fontId="10" fillId="0" borderId="4" xfId="0" applyNumberFormat="1" applyFont="1" applyBorder="1"/>
    <xf numFmtId="0" fontId="10" fillId="0" borderId="4" xfId="0" applyFont="1" applyBorder="1"/>
    <xf numFmtId="174" fontId="11" fillId="0" borderId="0" xfId="0" applyNumberFormat="1" applyFont="1" applyBorder="1" applyAlignment="1"/>
    <xf numFmtId="0" fontId="10" fillId="0" borderId="0" xfId="0" applyFont="1" applyBorder="1" applyAlignment="1"/>
    <xf numFmtId="174" fontId="11" fillId="0" borderId="0" xfId="0" applyNumberFormat="1" applyFont="1" applyAlignment="1"/>
    <xf numFmtId="1" fontId="10" fillId="0" borderId="0" xfId="0" applyNumberFormat="1" applyFont="1" applyBorder="1" applyAlignment="1"/>
    <xf numFmtId="9" fontId="10" fillId="0" borderId="0" xfId="3" applyFont="1" applyFill="1"/>
    <xf numFmtId="175" fontId="11" fillId="0" borderId="0" xfId="0" applyNumberFormat="1" applyFont="1" applyAlignment="1"/>
    <xf numFmtId="175" fontId="10" fillId="0" borderId="0" xfId="3" applyNumberFormat="1" applyFont="1" applyAlignment="1"/>
    <xf numFmtId="0" fontId="11" fillId="0" borderId="0" xfId="0" applyFont="1" applyAlignment="1">
      <alignment horizontal="left"/>
    </xf>
    <xf numFmtId="0" fontId="14" fillId="0" borderId="0" xfId="4" applyFont="1" applyFill="1"/>
    <xf numFmtId="169" fontId="10" fillId="0" borderId="0" xfId="0" applyNumberFormat="1" applyFont="1" applyAlignment="1"/>
    <xf numFmtId="0" fontId="11" fillId="0" borderId="0" xfId="0" applyFont="1" applyAlignment="1">
      <alignment horizontal="left" indent="1"/>
    </xf>
    <xf numFmtId="0" fontId="10" fillId="0" borderId="0" xfId="0" applyFont="1" applyFill="1"/>
    <xf numFmtId="176" fontId="10" fillId="0" borderId="0" xfId="0" applyNumberFormat="1" applyFont="1" applyAlignment="1"/>
    <xf numFmtId="0" fontId="10" fillId="0" borderId="0" xfId="0" applyFont="1" applyAlignment="1">
      <alignment horizontal="left"/>
    </xf>
    <xf numFmtId="0" fontId="10" fillId="0" borderId="0" xfId="0" applyFont="1" applyAlignment="1"/>
    <xf numFmtId="177" fontId="10" fillId="0" borderId="0" xfId="0" applyNumberFormat="1" applyFont="1"/>
    <xf numFmtId="178" fontId="10" fillId="0" borderId="0" xfId="0" applyNumberFormat="1" applyFont="1" applyAlignment="1"/>
    <xf numFmtId="175" fontId="10" fillId="0" borderId="0" xfId="0" applyNumberFormat="1" applyFont="1" applyAlignment="1"/>
    <xf numFmtId="9" fontId="11" fillId="0" borderId="0" xfId="0" applyNumberFormat="1" applyFont="1" applyAlignment="1"/>
    <xf numFmtId="3" fontId="10" fillId="0" borderId="0" xfId="0" applyNumberFormat="1" applyFont="1" applyAlignment="1"/>
    <xf numFmtId="0" fontId="10" fillId="0" borderId="0" xfId="0" applyFont="1" applyBorder="1" applyAlignment="1">
      <alignment wrapText="1"/>
    </xf>
    <xf numFmtId="0" fontId="10" fillId="0" borderId="0" xfId="0" applyFont="1" applyFill="1" applyBorder="1"/>
    <xf numFmtId="0" fontId="10" fillId="0" borderId="0" xfId="0" applyFont="1" applyBorder="1" applyAlignment="1">
      <alignment horizontal="left"/>
    </xf>
    <xf numFmtId="0" fontId="10" fillId="0" borderId="0" xfId="0" applyFont="1" applyAlignment="1">
      <alignment horizontal="right"/>
    </xf>
    <xf numFmtId="179" fontId="10" fillId="0" borderId="0" xfId="0" applyNumberFormat="1" applyFont="1" applyBorder="1" applyAlignment="1"/>
    <xf numFmtId="0" fontId="11" fillId="0" borderId="4" xfId="0" applyFont="1" applyFill="1" applyBorder="1" applyAlignment="1">
      <alignment horizontal="right" wrapText="1"/>
    </xf>
    <xf numFmtId="0" fontId="10" fillId="0" borderId="4" xfId="0" applyFont="1" applyBorder="1" applyAlignment="1">
      <alignment horizontal="right" wrapText="1"/>
    </xf>
    <xf numFmtId="0" fontId="10" fillId="0" borderId="4" xfId="0" applyFont="1" applyBorder="1" applyAlignment="1">
      <alignment horizontal="right"/>
    </xf>
    <xf numFmtId="180" fontId="10" fillId="0" borderId="0" xfId="0" applyNumberFormat="1" applyFont="1"/>
    <xf numFmtId="180" fontId="10" fillId="0" borderId="0" xfId="2" applyNumberFormat="1" applyFont="1"/>
    <xf numFmtId="0" fontId="10" fillId="7" borderId="0" xfId="4" applyFont="1" applyFill="1"/>
    <xf numFmtId="181" fontId="15" fillId="0" borderId="0" xfId="0" applyNumberFormat="1" applyFont="1"/>
    <xf numFmtId="180" fontId="0" fillId="0" borderId="0" xfId="0" applyNumberFormat="1"/>
    <xf numFmtId="0" fontId="0" fillId="0" borderId="0" xfId="0" applyFill="1" applyBorder="1"/>
    <xf numFmtId="0" fontId="9" fillId="0" borderId="0" xfId="0" applyFont="1"/>
    <xf numFmtId="180" fontId="0" fillId="0" borderId="4" xfId="0" applyNumberFormat="1" applyBorder="1"/>
    <xf numFmtId="0" fontId="0" fillId="0" borderId="4" xfId="0" applyBorder="1"/>
    <xf numFmtId="180" fontId="0" fillId="0" borderId="0" xfId="0" applyNumberFormat="1" applyBorder="1"/>
    <xf numFmtId="0" fontId="0" fillId="0" borderId="0" xfId="0" applyBorder="1"/>
    <xf numFmtId="0" fontId="0" fillId="0" borderId="0" xfId="0" applyAlignment="1">
      <alignment wrapText="1"/>
    </xf>
    <xf numFmtId="0" fontId="10" fillId="0" borderId="4" xfId="0" applyFont="1" applyBorder="1" applyAlignment="1">
      <alignment horizontal="center" wrapText="1"/>
    </xf>
    <xf numFmtId="0" fontId="0" fillId="0" borderId="4" xfId="0" applyBorder="1" applyAlignment="1">
      <alignment wrapText="1"/>
    </xf>
    <xf numFmtId="173" fontId="10" fillId="0" borderId="0" xfId="2" applyNumberFormat="1" applyFont="1" applyBorder="1" applyAlignment="1">
      <alignment horizontal="center"/>
    </xf>
    <xf numFmtId="0" fontId="11" fillId="0" borderId="1" xfId="0" applyFont="1" applyBorder="1" applyAlignment="1">
      <alignment wrapText="1"/>
    </xf>
    <xf numFmtId="0" fontId="10" fillId="0" borderId="4" xfId="0" applyFont="1" applyBorder="1" applyAlignment="1">
      <alignment horizontal="center"/>
    </xf>
    <xf numFmtId="0" fontId="10" fillId="0" borderId="0" xfId="0" applyFont="1" applyBorder="1" applyAlignment="1">
      <alignment horizontal="center"/>
    </xf>
    <xf numFmtId="173" fontId="12" fillId="0" borderId="1" xfId="2" applyNumberFormat="1" applyFont="1" applyBorder="1" applyAlignment="1">
      <alignment horizontal="center"/>
    </xf>
  </cellXfs>
  <cellStyles count="5">
    <cellStyle name="Comma" xfId="1" builtinId="3"/>
    <cellStyle name="Currency" xfId="2" builtinId="4"/>
    <cellStyle name="Hyperlink" xfId="4" builtinId="8"/>
    <cellStyle name="Normal" xfId="0" builtinId="0"/>
    <cellStyle name="Percent" xfId="3" builtinId="5"/>
  </cellStyles>
  <dxfs count="36">
    <dxf>
      <font>
        <b val="0"/>
        <i val="0"/>
        <strike val="0"/>
        <condense val="0"/>
        <extend val="0"/>
        <outline val="0"/>
        <shadow val="0"/>
        <u val="none"/>
        <vertAlign val="baseline"/>
        <sz val="11"/>
        <color theme="1"/>
        <name val="Garamond"/>
        <scheme val="none"/>
      </font>
    </dxf>
    <dxf>
      <font>
        <b val="0"/>
        <i val="0"/>
        <strike val="0"/>
        <condense val="0"/>
        <extend val="0"/>
        <outline val="0"/>
        <shadow val="0"/>
        <u val="none"/>
        <vertAlign val="baseline"/>
        <sz val="11"/>
        <color theme="1"/>
        <name val="Garamond"/>
        <scheme val="none"/>
      </font>
      <numFmt numFmtId="175" formatCode="0.0%"/>
      <alignment horizontal="general" vertical="bottom" textRotation="0" wrapText="0" indent="0" justifyLastLine="0" shrinkToFit="0" readingOrder="0"/>
    </dxf>
    <dxf>
      <font>
        <b val="0"/>
        <i/>
        <strike val="0"/>
        <condense val="0"/>
        <extend val="0"/>
        <outline val="0"/>
        <shadow val="0"/>
        <u val="none"/>
        <vertAlign val="baseline"/>
        <sz val="11"/>
        <color theme="1"/>
        <name val="Calibri"/>
        <scheme val="minor"/>
      </font>
      <alignment horizontal="left" vertical="bottom" textRotation="0" wrapText="0" indent="1" justifyLastLine="0" shrinkToFit="0" readingOrder="0"/>
    </dxf>
    <dxf>
      <font>
        <b val="0"/>
        <i val="0"/>
        <strike val="0"/>
        <condense val="0"/>
        <extend val="0"/>
        <outline val="0"/>
        <shadow val="0"/>
        <u val="none"/>
        <vertAlign val="baseline"/>
        <sz val="11"/>
        <color theme="1"/>
        <name val="Garamond"/>
        <scheme val="none"/>
      </font>
    </dxf>
    <dxf>
      <font>
        <b val="0"/>
        <i val="0"/>
        <strike val="0"/>
        <condense val="0"/>
        <extend val="0"/>
        <outline val="0"/>
        <shadow val="0"/>
        <u val="none"/>
        <vertAlign val="baseline"/>
        <sz val="11"/>
        <color theme="1"/>
        <name val="Garamond"/>
        <scheme val="none"/>
      </font>
      <numFmt numFmtId="175" formatCode="0.0%"/>
      <alignment horizontal="general" vertical="bottom" textRotation="0" wrapText="0" indent="0" justifyLastLine="0" shrinkToFit="0" readingOrder="0"/>
    </dxf>
    <dxf>
      <font>
        <b val="0"/>
        <i/>
        <strike val="0"/>
        <condense val="0"/>
        <extend val="0"/>
        <outline val="0"/>
        <shadow val="0"/>
        <u val="none"/>
        <vertAlign val="baseline"/>
        <sz val="11"/>
        <color theme="1"/>
        <name val="Calibri"/>
        <scheme val="minor"/>
      </font>
      <alignment horizontal="left" vertical="bottom" textRotation="0" wrapText="0" indent="1" justifyLastLine="0" shrinkToFit="0" readingOrder="0"/>
    </dxf>
    <dxf>
      <font>
        <b val="0"/>
        <i val="0"/>
        <strike val="0"/>
        <condense val="0"/>
        <extend val="0"/>
        <outline val="0"/>
        <shadow val="0"/>
        <u val="none"/>
        <vertAlign val="baseline"/>
        <sz val="11"/>
        <color theme="1"/>
        <name val="Garamond"/>
        <scheme val="none"/>
      </font>
    </dxf>
    <dxf>
      <font>
        <b val="0"/>
        <i val="0"/>
        <strike val="0"/>
        <condense val="0"/>
        <extend val="0"/>
        <outline val="0"/>
        <shadow val="0"/>
        <u val="none"/>
        <vertAlign val="baseline"/>
        <sz val="11"/>
        <color theme="1"/>
        <name val="Garamond"/>
        <scheme val="none"/>
      </font>
      <numFmt numFmtId="175" formatCode="0.0%"/>
      <alignment horizontal="general" vertical="bottom" textRotation="0" wrapText="0" indent="0" justifyLastLine="0" shrinkToFit="0" readingOrder="0"/>
    </dxf>
    <dxf>
      <font>
        <b val="0"/>
        <i/>
        <strike val="0"/>
        <condense val="0"/>
        <extend val="0"/>
        <outline val="0"/>
        <shadow val="0"/>
        <u val="none"/>
        <vertAlign val="baseline"/>
        <sz val="11"/>
        <color theme="1"/>
        <name val="Calibri"/>
        <scheme val="minor"/>
      </font>
      <alignment horizontal="left" vertical="bottom" textRotation="0" wrapText="0" indent="1" justifyLastLine="0" shrinkToFit="0" readingOrder="0"/>
    </dxf>
    <dxf>
      <font>
        <b val="0"/>
        <i val="0"/>
        <strike val="0"/>
        <condense val="0"/>
        <extend val="0"/>
        <outline val="0"/>
        <shadow val="0"/>
        <u val="none"/>
        <vertAlign val="baseline"/>
        <sz val="11"/>
        <color theme="1"/>
        <name val="Garamond"/>
        <scheme val="none"/>
      </font>
    </dxf>
    <dxf>
      <font>
        <b val="0"/>
        <i val="0"/>
        <strike val="0"/>
        <condense val="0"/>
        <extend val="0"/>
        <outline val="0"/>
        <shadow val="0"/>
        <u val="none"/>
        <vertAlign val="baseline"/>
        <sz val="11"/>
        <color theme="1"/>
        <name val="Garamond"/>
        <scheme val="none"/>
      </font>
      <numFmt numFmtId="175" formatCode="0.0%"/>
      <alignment horizontal="general" vertical="bottom" textRotation="0" wrapText="0" indent="0" justifyLastLine="0" shrinkToFit="0" readingOrder="0"/>
    </dxf>
    <dxf>
      <font>
        <b val="0"/>
        <i/>
        <strike val="0"/>
        <condense val="0"/>
        <extend val="0"/>
        <outline val="0"/>
        <shadow val="0"/>
        <u val="none"/>
        <vertAlign val="baseline"/>
        <sz val="11"/>
        <color theme="1"/>
        <name val="Calibri"/>
        <scheme val="minor"/>
      </font>
      <alignment horizontal="left" vertical="bottom" textRotation="0" wrapText="0" indent="1" justifyLastLine="0" shrinkToFit="0" readingOrder="0"/>
    </dxf>
    <dxf>
      <font>
        <b val="0"/>
        <i val="0"/>
        <strike val="0"/>
        <condense val="0"/>
        <extend val="0"/>
        <outline val="0"/>
        <shadow val="0"/>
        <u val="none"/>
        <vertAlign val="baseline"/>
        <sz val="11"/>
        <color theme="1"/>
        <name val="Garamond"/>
        <scheme val="none"/>
      </font>
    </dxf>
    <dxf>
      <font>
        <b val="0"/>
        <i val="0"/>
        <strike val="0"/>
        <condense val="0"/>
        <extend val="0"/>
        <outline val="0"/>
        <shadow val="0"/>
        <u val="none"/>
        <vertAlign val="baseline"/>
        <sz val="11"/>
        <color theme="1"/>
        <name val="Garamond"/>
        <scheme val="none"/>
      </font>
      <numFmt numFmtId="175" formatCode="0.0%"/>
      <alignment horizontal="general" vertical="bottom" textRotation="0" wrapText="0" indent="0" justifyLastLine="0" shrinkToFit="0" readingOrder="0"/>
    </dxf>
    <dxf>
      <font>
        <b val="0"/>
        <i/>
        <strike val="0"/>
        <condense val="0"/>
        <extend val="0"/>
        <outline val="0"/>
        <shadow val="0"/>
        <u val="none"/>
        <vertAlign val="baseline"/>
        <sz val="11"/>
        <color theme="1"/>
        <name val="Calibri"/>
        <scheme val="minor"/>
      </font>
      <alignment horizontal="left" vertical="bottom" textRotation="0" wrapText="0" indent="1" justifyLastLine="0" shrinkToFit="0" readingOrder="0"/>
    </dxf>
    <dxf>
      <font>
        <b val="0"/>
        <i val="0"/>
        <strike val="0"/>
        <condense val="0"/>
        <extend val="0"/>
        <outline val="0"/>
        <shadow val="0"/>
        <u val="none"/>
        <vertAlign val="baseline"/>
        <sz val="11"/>
        <color theme="1"/>
        <name val="Garamond"/>
        <scheme val="none"/>
      </font>
    </dxf>
    <dxf>
      <font>
        <b val="0"/>
        <i val="0"/>
        <strike val="0"/>
        <condense val="0"/>
        <extend val="0"/>
        <outline val="0"/>
        <shadow val="0"/>
        <u val="none"/>
        <vertAlign val="baseline"/>
        <sz val="11"/>
        <color theme="1"/>
        <name val="Garamond"/>
        <scheme val="none"/>
      </font>
      <numFmt numFmtId="175" formatCode="0.0%"/>
      <alignment horizontal="general" vertical="bottom" textRotation="0" wrapText="0" indent="0" justifyLastLine="0" shrinkToFit="0" readingOrder="0"/>
    </dxf>
    <dxf>
      <font>
        <b val="0"/>
        <i/>
        <strike val="0"/>
        <condense val="0"/>
        <extend val="0"/>
        <outline val="0"/>
        <shadow val="0"/>
        <u val="none"/>
        <vertAlign val="baseline"/>
        <sz val="11"/>
        <color theme="1"/>
        <name val="Calibri"/>
        <scheme val="minor"/>
      </font>
      <alignment horizontal="left" vertical="bottom" textRotation="0" wrapText="0" indent="1" justifyLastLine="0" shrinkToFit="0" readingOrder="0"/>
    </dxf>
    <dxf>
      <font>
        <b val="0"/>
        <i val="0"/>
        <strike val="0"/>
        <condense val="0"/>
        <extend val="0"/>
        <outline val="0"/>
        <shadow val="0"/>
        <u val="none"/>
        <vertAlign val="baseline"/>
        <sz val="11"/>
        <color theme="1"/>
        <name val="Garamond"/>
        <scheme val="none"/>
      </font>
    </dxf>
    <dxf>
      <font>
        <b val="0"/>
        <i val="0"/>
        <strike val="0"/>
        <condense val="0"/>
        <extend val="0"/>
        <outline val="0"/>
        <shadow val="0"/>
        <u val="none"/>
        <vertAlign val="baseline"/>
        <sz val="11"/>
        <color theme="1"/>
        <name val="Garamond"/>
        <scheme val="none"/>
      </font>
      <numFmt numFmtId="175" formatCode="0.0%"/>
      <alignment horizontal="general" vertical="bottom" textRotation="0" wrapText="0" indent="0" justifyLastLine="0" shrinkToFit="0" readingOrder="0"/>
    </dxf>
    <dxf>
      <font>
        <b val="0"/>
        <i/>
        <strike val="0"/>
        <condense val="0"/>
        <extend val="0"/>
        <outline val="0"/>
        <shadow val="0"/>
        <u val="none"/>
        <vertAlign val="baseline"/>
        <sz val="11"/>
        <color theme="1"/>
        <name val="Calibri"/>
        <scheme val="minor"/>
      </font>
      <alignment horizontal="left" vertical="bottom" textRotation="0" wrapText="0" indent="1" justifyLastLine="0" shrinkToFit="0" readingOrder="0"/>
    </dxf>
    <dxf>
      <font>
        <b val="0"/>
        <i val="0"/>
        <strike val="0"/>
        <condense val="0"/>
        <extend val="0"/>
        <outline val="0"/>
        <shadow val="0"/>
        <u val="none"/>
        <vertAlign val="baseline"/>
        <sz val="11"/>
        <color theme="1"/>
        <name val="Garamond"/>
        <scheme val="none"/>
      </font>
      <numFmt numFmtId="175" formatCode="0.0%"/>
      <alignment horizontal="general" vertical="bottom" textRotation="0" wrapText="0" indent="0" justifyLastLine="0" shrinkToFit="0" readingOrder="0"/>
    </dxf>
    <dxf>
      <font>
        <b val="0"/>
        <i val="0"/>
        <strike val="0"/>
        <condense val="0"/>
        <extend val="0"/>
        <outline val="0"/>
        <shadow val="0"/>
        <u val="none"/>
        <vertAlign val="baseline"/>
        <sz val="11"/>
        <color theme="1"/>
        <name val="Garamond"/>
        <scheme val="none"/>
      </font>
      <numFmt numFmtId="175"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scheme val="none"/>
      </font>
      <numFmt numFmtId="0" formatCode="General"/>
      <alignment horizontal="general" vertical="top" textRotation="0" wrapText="1" indent="0" justifyLastLine="0" shrinkToFit="0" readingOrder="0"/>
    </dxf>
    <dxf>
      <font>
        <b val="0"/>
        <i val="0"/>
        <strike val="0"/>
        <condense val="0"/>
        <extend val="0"/>
        <outline val="0"/>
        <shadow val="0"/>
        <u val="none"/>
        <vertAlign val="baseline"/>
        <sz val="9"/>
        <color theme="1"/>
        <name val="Arial"/>
        <scheme val="none"/>
      </font>
      <numFmt numFmtId="0" formatCode="General"/>
      <alignment horizontal="center" vertical="top" textRotation="0" wrapText="1" indent="0" justifyLastLine="0" shrinkToFit="0" readingOrder="0"/>
    </dxf>
    <dxf>
      <font>
        <b val="0"/>
        <i val="0"/>
        <strike val="0"/>
        <condense val="0"/>
        <extend val="0"/>
        <outline val="0"/>
        <shadow val="0"/>
        <u val="none"/>
        <vertAlign val="baseline"/>
        <sz val="9"/>
        <color theme="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9"/>
        <color theme="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9"/>
        <color theme="1"/>
        <name val="Arial"/>
        <scheme val="none"/>
      </font>
      <numFmt numFmtId="0" formatCode="General"/>
      <alignment horizontal="general" vertical="top" textRotation="0" wrapText="1" indent="0" justifyLastLine="0" shrinkToFit="0" readingOrder="0"/>
    </dxf>
    <dxf>
      <font>
        <b val="0"/>
        <i val="0"/>
        <strike val="0"/>
        <condense val="0"/>
        <extend val="0"/>
        <outline val="0"/>
        <shadow val="0"/>
        <u val="none"/>
        <vertAlign val="baseline"/>
        <sz val="9"/>
        <color theme="1"/>
        <name val="Arial"/>
        <scheme val="none"/>
      </font>
      <numFmt numFmtId="0" formatCode="General"/>
      <alignment horizontal="center" vertical="top" textRotation="0" wrapText="1" indent="0" justifyLastLine="0" shrinkToFit="0" readingOrder="0"/>
    </dxf>
    <dxf>
      <font>
        <strike val="0"/>
        <outline val="0"/>
        <shadow val="0"/>
        <u val="none"/>
        <sz val="9"/>
        <color theme="1"/>
        <name val="Arial"/>
        <scheme val="none"/>
      </font>
    </dxf>
    <dxf>
      <font>
        <b val="0"/>
        <i val="0"/>
        <strike val="0"/>
        <condense val="0"/>
        <extend val="0"/>
        <outline val="0"/>
        <shadow val="0"/>
        <u val="none"/>
        <vertAlign val="baseline"/>
        <sz val="9"/>
        <color theme="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9"/>
        <color theme="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9"/>
        <color theme="1"/>
        <name val="Arial"/>
        <scheme val="none"/>
      </font>
      <alignment horizontal="general" vertical="top" textRotation="0" wrapText="1" indent="0" justifyLastLine="0" shrinkToFit="0" readingOrder="0"/>
    </dxf>
    <dxf>
      <font>
        <strike val="0"/>
        <outline val="0"/>
        <shadow val="0"/>
        <u val="none"/>
        <sz val="9"/>
        <color theme="1"/>
        <name val="Arial"/>
        <scheme val="none"/>
      </font>
    </dxf>
    <dxf>
      <font>
        <b val="0"/>
        <i val="0"/>
        <strike val="0"/>
        <condense val="0"/>
        <extend val="0"/>
        <outline val="0"/>
        <shadow val="0"/>
        <u val="none"/>
        <vertAlign val="baseline"/>
        <sz val="9"/>
        <color theme="1"/>
        <name val="Arial"/>
        <scheme val="none"/>
      </font>
      <numFmt numFmtId="0" formatCode="General"/>
      <alignment horizontal="center" vertical="top" textRotation="0" wrapText="1" indent="0" justifyLastLine="0" shrinkToFit="0" readingOrder="0"/>
    </dxf>
    <dxf>
      <font>
        <b val="0"/>
        <i val="0"/>
        <strike val="0"/>
        <condense val="0"/>
        <extend val="0"/>
        <outline val="0"/>
        <shadow val="0"/>
        <u val="none"/>
        <vertAlign val="baseline"/>
        <sz val="10"/>
        <color theme="1"/>
        <name val="Arial"/>
        <scheme val="none"/>
      </font>
      <numFmt numFmtId="0" formatCode="General"/>
      <alignment horizontal="left" vertical="bottom" textRotation="0" wrapText="1" indent="0" justifyLastLine="0" shrinkToFit="0" readingOrder="0"/>
    </dxf>
  </dxfs>
  <tableStyles count="0" defaultTableStyle="TableStyleMedium2" defaultPivotStyle="PivotStyleLight16"/>
  <colors>
    <mruColors>
      <color rgb="FFB4DE86"/>
      <color rgb="FFFFFFFF"/>
      <color rgb="FF9AD25C"/>
      <color rgb="FF8BCB45"/>
      <color rgb="FF74B131"/>
      <color rgb="FFFFFF33"/>
      <color rgb="FFC7E6A4"/>
      <color rgb="FFFFFF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B$6" lockText="1" noThreeD="1"/>
</file>

<file path=xl/ctrlProps/ctrlProp2.xml><?xml version="1.0" encoding="utf-8"?>
<formControlPr xmlns="http://schemas.microsoft.com/office/spreadsheetml/2009/9/main" objectType="CheckBox" fmlaLink="$B$5" lockText="1" noThreeD="1"/>
</file>

<file path=xl/ctrlProps/ctrlProp3.xml><?xml version="1.0" encoding="utf-8"?>
<formControlPr xmlns="http://schemas.microsoft.com/office/spreadsheetml/2009/9/main" objectType="CheckBox" fmlaLink="$B$4" lockText="1" noThreeD="1"/>
</file>

<file path=xl/ctrlProps/ctrlProp4.xml><?xml version="1.0" encoding="utf-8"?>
<formControlPr xmlns="http://schemas.microsoft.com/office/spreadsheetml/2009/9/main" objectType="CheckBox" checked="Checked" fmlaLink="$B$3" lockText="1" noThreeD="1"/>
</file>

<file path=xl/ctrlProps/ctrlProp5.xml><?xml version="1.0" encoding="utf-8"?>
<formControlPr xmlns="http://schemas.microsoft.com/office/spreadsheetml/2009/9/main" objectType="CheckBox" fmlaLink="$B$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561975</xdr:colOff>
          <xdr:row>4</xdr:row>
          <xdr:rowOff>180975</xdr:rowOff>
        </xdr:from>
        <xdr:to>
          <xdr:col>1</xdr:col>
          <xdr:colOff>771525</xdr:colOff>
          <xdr:row>6</xdr:row>
          <xdr:rowOff>0</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561975</xdr:colOff>
          <xdr:row>3</xdr:row>
          <xdr:rowOff>180975</xdr:rowOff>
        </xdr:from>
        <xdr:to>
          <xdr:col>1</xdr:col>
          <xdr:colOff>771525</xdr:colOff>
          <xdr:row>5</xdr:row>
          <xdr:rowOff>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561975</xdr:colOff>
          <xdr:row>2</xdr:row>
          <xdr:rowOff>180975</xdr:rowOff>
        </xdr:from>
        <xdr:to>
          <xdr:col>1</xdr:col>
          <xdr:colOff>771525</xdr:colOff>
          <xdr:row>4</xdr:row>
          <xdr:rowOff>0</xdr:rowOff>
        </xdr:to>
        <xdr:sp macro="" textlink="">
          <xdr:nvSpPr>
            <xdr:cNvPr id="1027" name="Check Box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561975</xdr:colOff>
          <xdr:row>1</xdr:row>
          <xdr:rowOff>180975</xdr:rowOff>
        </xdr:from>
        <xdr:to>
          <xdr:col>1</xdr:col>
          <xdr:colOff>771525</xdr:colOff>
          <xdr:row>3</xdr:row>
          <xdr:rowOff>0</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561975</xdr:colOff>
          <xdr:row>1</xdr:row>
          <xdr:rowOff>0</xdr:rowOff>
        </xdr:from>
        <xdr:to>
          <xdr:col>1</xdr:col>
          <xdr:colOff>771525</xdr:colOff>
          <xdr:row>2</xdr:row>
          <xdr:rowOff>9525</xdr:rowOff>
        </xdr:to>
        <xdr:sp macro="" textlink="">
          <xdr:nvSpPr>
            <xdr:cNvPr id="1029" name="Check Box 5"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xdr:wsDr>
</file>

<file path=xl/queryTables/queryTable1.xml><?xml version="1.0" encoding="utf-8"?>
<queryTable xmlns="http://schemas.openxmlformats.org/spreadsheetml/2006/main" name="Query from UCR_1" headers="0" adjustColumnWidth="0" connectionId="1" autoFormatId="16" applyNumberFormats="0" applyBorderFormats="0" applyFontFormats="0" applyPatternFormats="0" applyAlignmentFormats="0" applyWidthHeightFormats="0">
  <queryTableRefresh headersInLastRefresh="0" nextId="10">
    <queryTableFields count="7">
      <queryTableField id="1" name="ClrRateMurder" tableColumnId="1"/>
      <queryTableField id="2" name="ClrRateRape" tableColumnId="2"/>
      <queryTableField id="3" name="ClrRateAssaultAgg" tableColumnId="3"/>
      <queryTableField id="5" name="ClrRateRobberyUnarmed" tableColumnId="5"/>
      <queryTableField id="6" name="ClrRateBurglary" tableColumnId="6"/>
      <queryTableField id="7" name="ClrRateLarceny" tableColumnId="7"/>
      <queryTableField id="8" name="ClrRateMVTheft" tableColumnId="8"/>
    </queryTableFields>
  </queryTableRefresh>
</queryTable>
</file>

<file path=xl/tables/_rels/table2.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2" name="Table2" displayName="Table2" ref="A1:K42" totalsRowShown="0" headerRowDxfId="35" dataDxfId="34">
  <autoFilter ref="A1:K42"/>
  <tableColumns count="11">
    <tableColumn id="1" name="Study" dataDxfId="33"/>
    <tableColumn id="2" name="(Quasi-)experiment" dataDxfId="32"/>
    <tableColumn id="3" name="Setting, sample" dataDxfId="31"/>
    <tableColumn id="4" name="Outcome" dataDxfId="30"/>
    <tableColumn id="5" name="Impact of stricter incarceration policy" dataDxfId="29"/>
    <tableColumn id="9" name="Data/ code public/ shared?" dataDxfId="28"/>
    <tableColumn id="11" name="Source specifics" dataDxfId="27"/>
    <tableColumn id="10" name="Additional scrutiny/critique" dataDxfId="26"/>
    <tableColumn id="6" name="Overall take" dataDxfId="25"/>
    <tableColumn id="8" name="Credibility" dataDxfId="24"/>
    <tableColumn id="12" name="Compatibility with report's synthesis" dataDxfId="23"/>
  </tableColumns>
  <tableStyleInfo name="TableStyleMedium4" showFirstColumn="0" showLastColumn="0" showRowStripes="1" showColumnStripes="0"/>
</table>
</file>

<file path=xl/tables/table2.xml><?xml version="1.0" encoding="utf-8"?>
<table xmlns="http://schemas.openxmlformats.org/spreadsheetml/2006/main" id="1" name="Table_Query_from_UCR_1" displayName="Table_Query_from_UCR_1" ref="B31:H31" tableType="queryTable" headerRowCount="0" headerRowDxfId="22" dataDxfId="21" headerRowCellStyle="Percent" dataCellStyle="Percent">
  <tableColumns count="7">
    <tableColumn id="1" uniqueName="1" name="ClrRateMurder" queryTableFieldId="1" headerRowDxfId="20" dataDxfId="19" totalsRowDxfId="18" dataCellStyle="Percent"/>
    <tableColumn id="2" uniqueName="2" name="ClrRateRape" queryTableFieldId="2" headerRowDxfId="17" dataDxfId="16" totalsRowDxfId="15" dataCellStyle="Percent"/>
    <tableColumn id="3" uniqueName="3" name="ClrRateAssaultAgg" queryTableFieldId="3" headerRowDxfId="14" dataDxfId="13" totalsRowDxfId="12" dataCellStyle="Percent"/>
    <tableColumn id="5" uniqueName="5" name="ClrRateRobberyUnarmed" queryTableFieldId="5" headerRowDxfId="11" dataDxfId="10" totalsRowDxfId="9" dataCellStyle="Percent"/>
    <tableColumn id="6" uniqueName="6" name="ClrRateBurglary" queryTableFieldId="6" headerRowDxfId="8" dataDxfId="7" totalsRowDxfId="6" dataCellStyle="Percent"/>
    <tableColumn id="7" uniqueName="7" name="ClrRateLarceny" queryTableFieldId="7" headerRowDxfId="5" dataDxfId="4" totalsRowDxfId="3" dataCellStyle="Percent"/>
    <tableColumn id="8" uniqueName="8" name="ClrRateMVTheft" queryTableFieldId="8" headerRowDxfId="2" dataDxfId="1" totalsRowDxfId="0" dataCellStyle="Percent"/>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
  <sheetViews>
    <sheetView showGridLines="0" tabSelected="1" zoomScaleNormal="100" workbookViewId="0">
      <pane ySplit="1" topLeftCell="A2" activePane="bottomLeft" state="frozen"/>
      <selection pane="bottomLeft" activeCell="A2" sqref="A2"/>
    </sheetView>
  </sheetViews>
  <sheetFormatPr defaultColWidth="9.140625" defaultRowHeight="15" x14ac:dyDescent="0.25"/>
  <cols>
    <col min="1" max="1" width="12.5703125" style="1" customWidth="1"/>
    <col min="2" max="2" width="21.85546875" style="1" customWidth="1"/>
    <col min="3" max="3" width="19.5703125" style="1" customWidth="1"/>
    <col min="4" max="4" width="20.42578125" style="1" customWidth="1"/>
    <col min="5" max="5" width="27.5703125" style="1" customWidth="1"/>
    <col min="6" max="6" width="8.85546875" style="3" customWidth="1"/>
    <col min="7" max="7" width="12.7109375" style="2" customWidth="1"/>
    <col min="8" max="9" width="32.5703125" customWidth="1"/>
    <col min="10" max="10" width="12.5703125" style="58" customWidth="1"/>
    <col min="11" max="11" width="22.85546875" customWidth="1"/>
    <col min="12" max="12" width="37.5703125" style="1" customWidth="1"/>
    <col min="13" max="13" width="11.5703125" style="1" customWidth="1"/>
    <col min="14" max="14" width="13.28515625" style="1" bestFit="1" customWidth="1"/>
    <col min="15" max="15" width="10.42578125" style="1" bestFit="1" customWidth="1"/>
    <col min="16" max="16384" width="9.140625" style="1"/>
  </cols>
  <sheetData>
    <row r="1" spans="1:11" ht="26.25" customHeight="1" x14ac:dyDescent="0.2">
      <c r="A1" s="33" t="s">
        <v>0</v>
      </c>
      <c r="B1" s="33" t="s">
        <v>1</v>
      </c>
      <c r="C1" s="33" t="s">
        <v>25</v>
      </c>
      <c r="D1" s="33" t="s">
        <v>2</v>
      </c>
      <c r="E1" s="33" t="s">
        <v>300</v>
      </c>
      <c r="F1" s="59" t="s">
        <v>139</v>
      </c>
      <c r="G1" s="33" t="s">
        <v>3</v>
      </c>
      <c r="H1" s="33" t="s">
        <v>157</v>
      </c>
      <c r="I1" s="33" t="s">
        <v>158</v>
      </c>
      <c r="J1" s="33" t="s">
        <v>243</v>
      </c>
      <c r="K1" s="33" t="s">
        <v>304</v>
      </c>
    </row>
    <row r="2" spans="1:11" ht="12.75" x14ac:dyDescent="0.2">
      <c r="A2" s="24" t="s">
        <v>138</v>
      </c>
      <c r="B2" s="28"/>
      <c r="C2" s="22"/>
      <c r="D2" s="22"/>
      <c r="E2" s="22"/>
      <c r="F2" s="23"/>
      <c r="G2" s="22"/>
      <c r="H2" s="22"/>
      <c r="I2" s="22"/>
      <c r="J2" s="53"/>
      <c r="K2" s="22"/>
    </row>
    <row r="3" spans="1:11" ht="120" x14ac:dyDescent="0.2">
      <c r="A3" s="4" t="s">
        <v>102</v>
      </c>
      <c r="B3" s="6" t="s">
        <v>105</v>
      </c>
      <c r="C3" s="6" t="s">
        <v>278</v>
      </c>
      <c r="D3" s="6" t="s">
        <v>106</v>
      </c>
      <c r="E3" s="11" t="s">
        <v>222</v>
      </c>
      <c r="F3" s="8" t="s">
        <v>64</v>
      </c>
      <c r="G3" s="6" t="s">
        <v>61</v>
      </c>
      <c r="H3" s="6"/>
      <c r="I3" s="6" t="s">
        <v>280</v>
      </c>
      <c r="J3" s="54" t="s">
        <v>244</v>
      </c>
      <c r="K3" s="46" t="s">
        <v>259</v>
      </c>
    </row>
    <row r="4" spans="1:11" ht="118.5" customHeight="1" x14ac:dyDescent="0.2">
      <c r="A4" s="31" t="s">
        <v>141</v>
      </c>
      <c r="B4" s="31" t="s">
        <v>301</v>
      </c>
      <c r="C4" s="31" t="s">
        <v>279</v>
      </c>
      <c r="D4" s="31" t="s">
        <v>74</v>
      </c>
      <c r="E4" s="32" t="s">
        <v>142</v>
      </c>
      <c r="F4" s="9" t="s">
        <v>64</v>
      </c>
      <c r="G4" s="6" t="s">
        <v>155</v>
      </c>
      <c r="H4" s="6"/>
      <c r="I4" s="6" t="s">
        <v>224</v>
      </c>
      <c r="J4" s="54" t="s">
        <v>244</v>
      </c>
      <c r="K4" s="46" t="s">
        <v>259</v>
      </c>
    </row>
    <row r="5" spans="1:11" ht="96" customHeight="1" x14ac:dyDescent="0.2">
      <c r="A5" s="31" t="s">
        <v>216</v>
      </c>
      <c r="B5" s="31" t="s">
        <v>217</v>
      </c>
      <c r="C5" s="31" t="s">
        <v>220</v>
      </c>
      <c r="D5" s="31" t="s">
        <v>226</v>
      </c>
      <c r="E5" s="32" t="s">
        <v>223</v>
      </c>
      <c r="F5" s="9" t="s">
        <v>221</v>
      </c>
      <c r="G5" s="45" t="s">
        <v>9</v>
      </c>
      <c r="H5" s="6" t="s">
        <v>302</v>
      </c>
      <c r="I5" s="6" t="s">
        <v>229</v>
      </c>
      <c r="J5" s="54" t="s">
        <v>244</v>
      </c>
      <c r="K5" s="47" t="s">
        <v>257</v>
      </c>
    </row>
    <row r="6" spans="1:11" ht="96" customHeight="1" x14ac:dyDescent="0.2">
      <c r="A6" s="31" t="s">
        <v>218</v>
      </c>
      <c r="B6" s="31" t="s">
        <v>225</v>
      </c>
      <c r="C6" s="31" t="s">
        <v>219</v>
      </c>
      <c r="D6" s="31" t="s">
        <v>227</v>
      </c>
      <c r="E6" s="32" t="s">
        <v>228</v>
      </c>
      <c r="F6" s="9" t="s">
        <v>221</v>
      </c>
      <c r="G6" s="45" t="s">
        <v>9</v>
      </c>
      <c r="H6" s="6"/>
      <c r="I6" s="6" t="s">
        <v>230</v>
      </c>
      <c r="J6" s="54" t="s">
        <v>244</v>
      </c>
      <c r="K6" s="47" t="s">
        <v>258</v>
      </c>
    </row>
    <row r="7" spans="1:11" ht="12.75" x14ac:dyDescent="0.2">
      <c r="A7" s="29" t="s">
        <v>303</v>
      </c>
      <c r="B7" s="30"/>
      <c r="C7" s="30"/>
      <c r="D7" s="30"/>
      <c r="E7" s="30"/>
      <c r="F7" s="17"/>
      <c r="G7" s="19"/>
      <c r="H7" s="18"/>
      <c r="I7" s="18"/>
      <c r="J7" s="18"/>
      <c r="K7" s="18"/>
    </row>
    <row r="8" spans="1:11" ht="74.25" customHeight="1" x14ac:dyDescent="0.2">
      <c r="A8" s="4" t="s">
        <v>97</v>
      </c>
      <c r="B8" s="6" t="s">
        <v>108</v>
      </c>
      <c r="C8" s="6" t="s">
        <v>107</v>
      </c>
      <c r="D8" s="6" t="s">
        <v>98</v>
      </c>
      <c r="E8" s="11" t="s">
        <v>156</v>
      </c>
      <c r="F8" s="8" t="s">
        <v>64</v>
      </c>
      <c r="G8" s="6"/>
      <c r="H8" s="6"/>
      <c r="I8" s="6" t="s">
        <v>297</v>
      </c>
      <c r="J8" s="54" t="s">
        <v>244</v>
      </c>
      <c r="K8" s="46" t="s">
        <v>256</v>
      </c>
    </row>
    <row r="9" spans="1:11" ht="98.25" customHeight="1" x14ac:dyDescent="0.2">
      <c r="A9" s="4" t="s">
        <v>32</v>
      </c>
      <c r="B9" s="6" t="s">
        <v>91</v>
      </c>
      <c r="C9" s="6" t="s">
        <v>33</v>
      </c>
      <c r="D9" s="6" t="s">
        <v>34</v>
      </c>
      <c r="E9" s="7" t="s">
        <v>68</v>
      </c>
      <c r="F9" s="8" t="s">
        <v>64</v>
      </c>
      <c r="G9" s="6" t="s">
        <v>152</v>
      </c>
      <c r="H9" s="6" t="s">
        <v>171</v>
      </c>
      <c r="I9" s="6" t="s">
        <v>172</v>
      </c>
      <c r="J9" s="54" t="s">
        <v>246</v>
      </c>
      <c r="K9" s="48" t="s">
        <v>255</v>
      </c>
    </row>
    <row r="10" spans="1:11" ht="93.75" customHeight="1" x14ac:dyDescent="0.2">
      <c r="A10" s="34" t="s">
        <v>36</v>
      </c>
      <c r="B10" s="35" t="s">
        <v>159</v>
      </c>
      <c r="C10" s="35" t="s">
        <v>109</v>
      </c>
      <c r="D10" s="35" t="s">
        <v>50</v>
      </c>
      <c r="E10" s="36" t="s">
        <v>160</v>
      </c>
      <c r="F10" s="37" t="s">
        <v>63</v>
      </c>
      <c r="G10" s="35" t="s">
        <v>143</v>
      </c>
      <c r="H10" s="35" t="s">
        <v>173</v>
      </c>
      <c r="I10" s="35" t="s">
        <v>174</v>
      </c>
      <c r="J10" s="55" t="s">
        <v>245</v>
      </c>
      <c r="K10" s="49" t="s">
        <v>249</v>
      </c>
    </row>
    <row r="11" spans="1:11" ht="94.5" customHeight="1" x14ac:dyDescent="0.2">
      <c r="A11" s="4" t="s">
        <v>37</v>
      </c>
      <c r="B11" s="6" t="s">
        <v>110</v>
      </c>
      <c r="C11" s="6" t="s">
        <v>38</v>
      </c>
      <c r="D11" s="6" t="s">
        <v>58</v>
      </c>
      <c r="E11" s="11"/>
      <c r="F11" s="8" t="s">
        <v>64</v>
      </c>
      <c r="G11" s="6" t="s">
        <v>144</v>
      </c>
      <c r="H11" s="6" t="s">
        <v>284</v>
      </c>
      <c r="I11" s="6"/>
      <c r="J11" s="54" t="s">
        <v>245</v>
      </c>
      <c r="K11" s="49" t="s">
        <v>250</v>
      </c>
    </row>
    <row r="12" spans="1:11" ht="169.5" customHeight="1" x14ac:dyDescent="0.2">
      <c r="A12" s="34" t="s">
        <v>54</v>
      </c>
      <c r="B12" s="34" t="s">
        <v>161</v>
      </c>
      <c r="C12" s="35" t="s">
        <v>162</v>
      </c>
      <c r="D12" s="35" t="s">
        <v>163</v>
      </c>
      <c r="E12" s="35" t="str">
        <f>"Mandatory minimums: "&amp;TEXT(EXP(-0.0697)-1,"+#.0%;–#.0%")&amp;" in 1st year"&amp;" (p = "&amp;TEXT(2*_xlfn.NORM.S.DIST(-0.0697/0.0695,1),".00")&amp;"), "&amp;TEXT(EXP(-0.0512)-1,"+#.0%;–#.0%")&amp;" (p = "&amp;TEXT(2*_xlfn.NORM.S.DIST(-0.0512/0.065,1),".000")&amp;") in 2nd, "&amp;TEXT(EXP(-0.0358)-1,"+#.0%;–#.0%")&amp;" (p = "&amp;TEXT(2*_xlfn.NORM.S.DIST(-0.0358/0.0585,1),".000")&amp;") in 3rd. Gun add-ons: "&amp;TEXT(EXP(-0.0661)-1,"+#.0%;–#.0%")&amp;" in 1st year"&amp;" (p = "&amp;TEXT(2*_xlfn.NORM.S.DIST(-0.0661/0.046,1),".00")&amp;"), "&amp;TEXT(EXP(-0.148)-1,"+#.0%;–#.0%")&amp;" (p = "&amp;TEXT(2*_xlfn.NORM.S.DIST(-0.148/0.0485,1),".000")&amp;") in 2nd, "&amp;TEXT(EXP(-0.179)-1,"+#.0%;–#.0%")&amp;" (p = "&amp;TEXT(2*_xlfn.NORM.S.DIST(-0.179/0.0612,1),".000")&amp;") in 3rd"</f>
        <v>Mandatory minimums: –6.7% in 1st year (p = .32), –5.0% (p = .431) in 2nd, –3.5% (p = .541) in 3rd. Gun add-ons: –6.4% in 1st year (p = .15), –13.8% (p = .002) in 2nd, –16.4% (p = .003) in 3rd</v>
      </c>
      <c r="F12" s="38" t="s">
        <v>63</v>
      </c>
      <c r="G12" s="35" t="s">
        <v>73</v>
      </c>
      <c r="H12" s="35" t="s">
        <v>283</v>
      </c>
      <c r="I12" s="35" t="s">
        <v>164</v>
      </c>
      <c r="J12" s="55" t="s">
        <v>245</v>
      </c>
      <c r="K12" s="50" t="s">
        <v>251</v>
      </c>
    </row>
    <row r="13" spans="1:11" ht="12.75" x14ac:dyDescent="0.2">
      <c r="A13" s="20" t="s">
        <v>135</v>
      </c>
      <c r="B13" s="21"/>
      <c r="C13" s="21"/>
      <c r="D13" s="21"/>
      <c r="E13" s="22"/>
      <c r="F13" s="23"/>
      <c r="G13" s="22"/>
      <c r="H13" s="22"/>
      <c r="I13" s="22"/>
      <c r="J13" s="53"/>
      <c r="K13" s="22"/>
    </row>
    <row r="14" spans="1:11" ht="93.75" customHeight="1" x14ac:dyDescent="0.2">
      <c r="A14" s="4" t="s">
        <v>112</v>
      </c>
      <c r="B14" s="6" t="s">
        <v>100</v>
      </c>
      <c r="C14" s="6" t="s">
        <v>93</v>
      </c>
      <c r="D14" s="6" t="s">
        <v>76</v>
      </c>
      <c r="E14" s="4" t="s">
        <v>77</v>
      </c>
      <c r="F14" s="9" t="s">
        <v>165</v>
      </c>
      <c r="G14" s="6" t="s">
        <v>78</v>
      </c>
      <c r="H14" s="6" t="s">
        <v>282</v>
      </c>
      <c r="I14" s="6" t="s">
        <v>166</v>
      </c>
      <c r="J14" s="54" t="s">
        <v>244</v>
      </c>
      <c r="K14" s="51" t="s">
        <v>252</v>
      </c>
    </row>
    <row r="15" spans="1:11" ht="72" customHeight="1" x14ac:dyDescent="0.2">
      <c r="A15" s="4" t="s">
        <v>65</v>
      </c>
      <c r="B15" s="6" t="s">
        <v>281</v>
      </c>
      <c r="C15" s="6" t="s">
        <v>129</v>
      </c>
      <c r="D15" s="6" t="s">
        <v>66</v>
      </c>
      <c r="E15" s="12" t="s">
        <v>70</v>
      </c>
      <c r="F15" s="9" t="s">
        <v>64</v>
      </c>
      <c r="G15" s="6" t="s">
        <v>71</v>
      </c>
      <c r="H15" s="6" t="s">
        <v>167</v>
      </c>
      <c r="I15" s="6" t="s">
        <v>168</v>
      </c>
      <c r="J15" s="54" t="s">
        <v>244</v>
      </c>
      <c r="K15" s="51" t="s">
        <v>252</v>
      </c>
    </row>
    <row r="16" spans="1:11" ht="12.75" x14ac:dyDescent="0.2">
      <c r="A16" s="20" t="s">
        <v>136</v>
      </c>
      <c r="B16" s="21"/>
      <c r="C16" s="21"/>
      <c r="D16" s="21"/>
      <c r="E16" s="22"/>
      <c r="F16" s="23"/>
      <c r="G16" s="22"/>
      <c r="H16" s="22"/>
      <c r="I16" s="22"/>
      <c r="J16" s="53"/>
      <c r="K16" s="22"/>
    </row>
    <row r="17" spans="1:11" ht="98.25" customHeight="1" x14ac:dyDescent="0.2">
      <c r="A17" s="34" t="s">
        <v>51</v>
      </c>
      <c r="B17" s="35" t="s">
        <v>175</v>
      </c>
      <c r="C17" s="35" t="s">
        <v>169</v>
      </c>
      <c r="D17" s="35" t="s">
        <v>52</v>
      </c>
      <c r="E17" s="39" t="s">
        <v>176</v>
      </c>
      <c r="F17" s="40" t="s">
        <v>140</v>
      </c>
      <c r="G17" s="35" t="s">
        <v>53</v>
      </c>
      <c r="H17" s="35" t="s">
        <v>287</v>
      </c>
      <c r="I17" s="35" t="s">
        <v>298</v>
      </c>
      <c r="J17" s="55" t="s">
        <v>247</v>
      </c>
      <c r="K17" s="47" t="s">
        <v>253</v>
      </c>
    </row>
    <row r="18" spans="1:11" ht="71.25" customHeight="1" x14ac:dyDescent="0.2">
      <c r="A18" s="4" t="s">
        <v>39</v>
      </c>
      <c r="B18" s="4" t="s">
        <v>49</v>
      </c>
      <c r="C18" s="6" t="s">
        <v>41</v>
      </c>
      <c r="D18" s="6" t="s">
        <v>42</v>
      </c>
      <c r="E18" s="6" t="s">
        <v>69</v>
      </c>
      <c r="F18" s="9" t="s">
        <v>64</v>
      </c>
      <c r="G18" s="6" t="s">
        <v>43</v>
      </c>
      <c r="H18" s="6"/>
      <c r="I18" s="6" t="s">
        <v>248</v>
      </c>
      <c r="J18" s="54" t="s">
        <v>244</v>
      </c>
      <c r="K18" s="50" t="s">
        <v>254</v>
      </c>
    </row>
    <row r="19" spans="1:11" ht="84" customHeight="1" x14ac:dyDescent="0.2">
      <c r="A19" s="34" t="s">
        <v>79</v>
      </c>
      <c r="B19" s="35" t="s">
        <v>177</v>
      </c>
      <c r="C19" s="35" t="s">
        <v>44</v>
      </c>
      <c r="D19" s="35" t="s">
        <v>80</v>
      </c>
      <c r="E19" s="39" t="s">
        <v>178</v>
      </c>
      <c r="F19" s="37" t="s">
        <v>63</v>
      </c>
      <c r="G19" s="35" t="s">
        <v>179</v>
      </c>
      <c r="H19" s="35" t="s">
        <v>180</v>
      </c>
      <c r="I19" s="35" t="s">
        <v>288</v>
      </c>
      <c r="J19" s="55" t="s">
        <v>244</v>
      </c>
      <c r="K19" s="52" t="s">
        <v>305</v>
      </c>
    </row>
    <row r="20" spans="1:11" ht="108" x14ac:dyDescent="0.2">
      <c r="A20" s="4" t="s">
        <v>47</v>
      </c>
      <c r="B20" s="4" t="s">
        <v>101</v>
      </c>
      <c r="C20" s="4" t="s">
        <v>48</v>
      </c>
      <c r="D20" s="4" t="s">
        <v>82</v>
      </c>
      <c r="E20" s="4" t="str">
        <f>"0 for assault &amp; sexual crimes; –3.66 acquisitive crimes/month/offender serving extended sentence (p = "&amp;TEXT(2*_xlfn.NORM.S.DIST(-9.22/4.59,1),".##")&amp;"); but lower impact in lower-crime cities"</f>
        <v>0 for assault &amp; sexual crimes; –3.66 acquisitive crimes/month/offender serving extended sentence (p = .04); but lower impact in lower-crime cities</v>
      </c>
      <c r="F20" s="9" t="s">
        <v>64</v>
      </c>
      <c r="G20" s="6" t="s">
        <v>111</v>
      </c>
      <c r="H20" s="6"/>
      <c r="I20" s="4" t="s">
        <v>153</v>
      </c>
      <c r="J20" s="54" t="s">
        <v>244</v>
      </c>
      <c r="K20" s="52" t="s">
        <v>306</v>
      </c>
    </row>
    <row r="21" spans="1:11" ht="217.5" customHeight="1" x14ac:dyDescent="0.2">
      <c r="A21" s="34" t="s">
        <v>134</v>
      </c>
      <c r="B21" s="35" t="s">
        <v>181</v>
      </c>
      <c r="C21" s="35" t="s">
        <v>146</v>
      </c>
      <c r="D21" s="35" t="s">
        <v>145</v>
      </c>
      <c r="E21" s="41" t="str">
        <f>"Cross-state analysis: "&amp;TEXT((-44.64-71.89-20.53)*38400000/100000/(232000-213000),"+.0;–.0")&amp;" property crimes/prisoner/year in 2012–13, with effect clearest for vehicle theft (–1.2); no change for violent crime"</f>
        <v>Cross-state analysis: –2.8 property crimes/prisoner/year in 2012–13, with effect clearest for vehicle theft (–1.2); no change for violent crime</v>
      </c>
      <c r="F21" s="42" t="s">
        <v>64</v>
      </c>
      <c r="G21" s="35" t="s">
        <v>147</v>
      </c>
      <c r="H21" s="35" t="s">
        <v>289</v>
      </c>
      <c r="I21" s="43" t="s">
        <v>299</v>
      </c>
      <c r="J21" s="42" t="s">
        <v>247</v>
      </c>
      <c r="K21" s="47" t="s">
        <v>253</v>
      </c>
    </row>
    <row r="22" spans="1:11" ht="12.75" x14ac:dyDescent="0.2">
      <c r="A22" s="20" t="s">
        <v>137</v>
      </c>
      <c r="B22" s="21"/>
      <c r="C22" s="21"/>
      <c r="D22" s="21"/>
      <c r="E22" s="22"/>
      <c r="F22" s="23"/>
      <c r="G22" s="22"/>
      <c r="H22" s="22"/>
      <c r="I22" s="22"/>
      <c r="J22" s="53"/>
      <c r="K22" s="22"/>
    </row>
    <row r="23" spans="1:11" ht="97.5" customHeight="1" x14ac:dyDescent="0.2">
      <c r="A23" s="4" t="s">
        <v>4</v>
      </c>
      <c r="B23" s="6" t="s">
        <v>182</v>
      </c>
      <c r="C23" s="6" t="s">
        <v>104</v>
      </c>
      <c r="D23" s="6" t="s">
        <v>183</v>
      </c>
      <c r="E23" s="7" t="s">
        <v>184</v>
      </c>
      <c r="F23" s="5" t="s">
        <v>64</v>
      </c>
      <c r="G23" s="6" t="s">
        <v>185</v>
      </c>
      <c r="H23" s="6" t="s">
        <v>186</v>
      </c>
      <c r="I23" s="6" t="s">
        <v>187</v>
      </c>
      <c r="J23" s="54" t="s">
        <v>246</v>
      </c>
      <c r="K23" s="48" t="s">
        <v>260</v>
      </c>
    </row>
    <row r="24" spans="1:11" ht="46.5" customHeight="1" x14ac:dyDescent="0.2">
      <c r="A24" s="4" t="s">
        <v>5</v>
      </c>
      <c r="B24" s="6" t="s">
        <v>13</v>
      </c>
      <c r="C24" s="6" t="s">
        <v>294</v>
      </c>
      <c r="D24" s="6" t="s">
        <v>6</v>
      </c>
      <c r="E24" s="4" t="s">
        <v>21</v>
      </c>
      <c r="F24" s="9" t="s">
        <v>64</v>
      </c>
      <c r="G24" s="6" t="s">
        <v>7</v>
      </c>
      <c r="H24" s="6" t="s">
        <v>188</v>
      </c>
      <c r="I24" s="6" t="s">
        <v>261</v>
      </c>
      <c r="J24" s="54" t="s">
        <v>244</v>
      </c>
      <c r="K24" s="51" t="s">
        <v>262</v>
      </c>
    </row>
    <row r="25" spans="1:11" ht="96" customHeight="1" x14ac:dyDescent="0.2">
      <c r="A25" s="4" t="s">
        <v>8</v>
      </c>
      <c r="B25" s="6" t="s">
        <v>96</v>
      </c>
      <c r="C25" s="6" t="s">
        <v>12</v>
      </c>
      <c r="D25" s="6" t="s">
        <v>60</v>
      </c>
      <c r="E25" s="11" t="s">
        <v>67</v>
      </c>
      <c r="F25" s="8" t="s">
        <v>64</v>
      </c>
      <c r="G25" s="6" t="s">
        <v>9</v>
      </c>
      <c r="H25" s="6" t="s">
        <v>189</v>
      </c>
      <c r="I25" s="6" t="s">
        <v>190</v>
      </c>
      <c r="J25" s="54" t="s">
        <v>246</v>
      </c>
      <c r="K25" s="52" t="s">
        <v>263</v>
      </c>
    </row>
    <row r="26" spans="1:11" ht="108" customHeight="1" x14ac:dyDescent="0.2">
      <c r="A26" s="4" t="s">
        <v>10</v>
      </c>
      <c r="B26" s="6" t="s">
        <v>56</v>
      </c>
      <c r="C26" s="6" t="s">
        <v>11</v>
      </c>
      <c r="D26" s="6" t="s">
        <v>81</v>
      </c>
      <c r="E26" s="6" t="str">
        <f>"Level III confinement led to less time served &amp; "&amp;TEXT(EXP(0.27116)-1,"+00.0%")&amp;" recidivism per unit time post-release (relative change)"</f>
        <v>Level III confinement led to less time served &amp; +31.1% recidivism per unit time post-release (relative change)</v>
      </c>
      <c r="F26" s="9" t="s">
        <v>64</v>
      </c>
      <c r="G26" s="6" t="s">
        <v>35</v>
      </c>
      <c r="H26" s="6" t="s">
        <v>286</v>
      </c>
      <c r="I26" s="6" t="s">
        <v>191</v>
      </c>
      <c r="J26" s="54" t="s">
        <v>245</v>
      </c>
      <c r="K26" s="51" t="s">
        <v>264</v>
      </c>
    </row>
    <row r="27" spans="1:11" ht="108" customHeight="1" x14ac:dyDescent="0.2">
      <c r="A27" s="34" t="s">
        <v>15</v>
      </c>
      <c r="B27" s="35" t="s">
        <v>131</v>
      </c>
      <c r="C27" s="35" t="s">
        <v>16</v>
      </c>
      <c r="D27" s="35" t="s">
        <v>195</v>
      </c>
      <c r="E27" s="39" t="s">
        <v>192</v>
      </c>
      <c r="F27" s="38" t="s">
        <v>63</v>
      </c>
      <c r="G27" s="35" t="s">
        <v>18</v>
      </c>
      <c r="H27" s="35" t="s">
        <v>193</v>
      </c>
      <c r="I27" s="35" t="s">
        <v>194</v>
      </c>
      <c r="J27" s="55" t="s">
        <v>247</v>
      </c>
      <c r="K27" s="52" t="s">
        <v>265</v>
      </c>
    </row>
    <row r="28" spans="1:11" ht="108" x14ac:dyDescent="0.2">
      <c r="A28" s="4" t="s">
        <v>22</v>
      </c>
      <c r="B28" s="6" t="s">
        <v>23</v>
      </c>
      <c r="C28" s="6" t="s">
        <v>113</v>
      </c>
      <c r="D28" s="6" t="s">
        <v>133</v>
      </c>
      <c r="E28" s="4" t="s">
        <v>290</v>
      </c>
      <c r="F28" s="9" t="s">
        <v>64</v>
      </c>
      <c r="G28" s="6" t="s">
        <v>132</v>
      </c>
      <c r="H28" s="6" t="s">
        <v>197</v>
      </c>
      <c r="I28" s="6" t="s">
        <v>198</v>
      </c>
      <c r="J28" s="54" t="s">
        <v>246</v>
      </c>
      <c r="K28" s="52" t="s">
        <v>266</v>
      </c>
    </row>
    <row r="29" spans="1:11" ht="85.5" customHeight="1" x14ac:dyDescent="0.2">
      <c r="A29" s="4" t="s">
        <v>19</v>
      </c>
      <c r="B29" s="6" t="s">
        <v>23</v>
      </c>
      <c r="C29" s="6" t="s">
        <v>114</v>
      </c>
      <c r="D29" s="6" t="s">
        <v>57</v>
      </c>
      <c r="E29" s="4" t="s">
        <v>90</v>
      </c>
      <c r="F29" s="9" t="s">
        <v>64</v>
      </c>
      <c r="G29" s="6" t="s">
        <v>20</v>
      </c>
      <c r="H29" s="6" t="s">
        <v>199</v>
      </c>
      <c r="I29" s="6" t="s">
        <v>200</v>
      </c>
      <c r="J29" s="54" t="s">
        <v>246</v>
      </c>
      <c r="K29" s="52" t="s">
        <v>267</v>
      </c>
    </row>
    <row r="30" spans="1:11" ht="99" customHeight="1" x14ac:dyDescent="0.2">
      <c r="A30" s="34" t="s">
        <v>24</v>
      </c>
      <c r="B30" s="35" t="s">
        <v>118</v>
      </c>
      <c r="C30" s="35" t="s">
        <v>148</v>
      </c>
      <c r="D30" s="35" t="s">
        <v>26</v>
      </c>
      <c r="E30" s="34" t="s">
        <v>150</v>
      </c>
      <c r="F30" s="44" t="s">
        <v>63</v>
      </c>
      <c r="G30" s="35" t="s">
        <v>149</v>
      </c>
      <c r="H30" s="35" t="s">
        <v>204</v>
      </c>
      <c r="I30" s="35" t="s">
        <v>205</v>
      </c>
      <c r="J30" s="55" t="s">
        <v>245</v>
      </c>
      <c r="K30" s="49" t="s">
        <v>268</v>
      </c>
    </row>
    <row r="31" spans="1:11" ht="143.25" customHeight="1" x14ac:dyDescent="0.2">
      <c r="A31" s="34" t="s">
        <v>24</v>
      </c>
      <c r="B31" s="35" t="s">
        <v>92</v>
      </c>
      <c r="C31" s="35" t="s">
        <v>83</v>
      </c>
      <c r="D31" s="35" t="s">
        <v>26</v>
      </c>
      <c r="E31" s="41" t="s">
        <v>55</v>
      </c>
      <c r="F31" s="42" t="s">
        <v>63</v>
      </c>
      <c r="G31" s="35" t="s">
        <v>154</v>
      </c>
      <c r="H31" s="35" t="s">
        <v>285</v>
      </c>
      <c r="I31" s="43" t="s">
        <v>206</v>
      </c>
      <c r="J31" s="42" t="s">
        <v>245</v>
      </c>
      <c r="K31" s="49" t="s">
        <v>269</v>
      </c>
    </row>
    <row r="32" spans="1:11" ht="97.5" customHeight="1" x14ac:dyDescent="0.2">
      <c r="A32" s="34" t="s">
        <v>24</v>
      </c>
      <c r="B32" s="34" t="s">
        <v>103</v>
      </c>
      <c r="C32" s="34" t="s">
        <v>28</v>
      </c>
      <c r="D32" s="35" t="s">
        <v>26</v>
      </c>
      <c r="E32" s="34" t="s">
        <v>295</v>
      </c>
      <c r="F32" s="38" t="s">
        <v>63</v>
      </c>
      <c r="G32" s="35" t="s">
        <v>151</v>
      </c>
      <c r="H32" s="35" t="s">
        <v>207</v>
      </c>
      <c r="I32" s="34" t="s">
        <v>208</v>
      </c>
      <c r="J32" s="55" t="s">
        <v>245</v>
      </c>
      <c r="K32" s="46" t="s">
        <v>270</v>
      </c>
    </row>
    <row r="33" spans="1:11" ht="96.75" customHeight="1" x14ac:dyDescent="0.2">
      <c r="A33" s="34" t="s">
        <v>115</v>
      </c>
      <c r="B33" s="35" t="s">
        <v>116</v>
      </c>
      <c r="C33" s="35" t="s">
        <v>117</v>
      </c>
      <c r="D33" s="35" t="s">
        <v>130</v>
      </c>
      <c r="E33" s="35" t="s">
        <v>125</v>
      </c>
      <c r="F33" s="38" t="s">
        <v>63</v>
      </c>
      <c r="G33" s="35" t="s">
        <v>119</v>
      </c>
      <c r="H33" s="35" t="s">
        <v>210</v>
      </c>
      <c r="I33" s="35" t="s">
        <v>209</v>
      </c>
      <c r="J33" s="55" t="s">
        <v>246</v>
      </c>
      <c r="K33" s="49" t="s">
        <v>268</v>
      </c>
    </row>
    <row r="34" spans="1:11" ht="108" x14ac:dyDescent="0.2">
      <c r="A34" s="4" t="s">
        <v>122</v>
      </c>
      <c r="B34" s="4" t="s">
        <v>123</v>
      </c>
      <c r="C34" s="6" t="s">
        <v>196</v>
      </c>
      <c r="D34" s="6" t="s">
        <v>124</v>
      </c>
      <c r="E34" s="4" t="s">
        <v>126</v>
      </c>
      <c r="F34" s="8" t="s">
        <v>64</v>
      </c>
      <c r="G34" s="6" t="s">
        <v>127</v>
      </c>
      <c r="H34" s="6" t="s">
        <v>201</v>
      </c>
      <c r="I34" s="6" t="s">
        <v>202</v>
      </c>
      <c r="J34" s="54" t="s">
        <v>245</v>
      </c>
      <c r="K34" s="46" t="s">
        <v>271</v>
      </c>
    </row>
    <row r="35" spans="1:11" ht="109.5" customHeight="1" x14ac:dyDescent="0.2">
      <c r="A35" s="4" t="s">
        <v>40</v>
      </c>
      <c r="B35" s="4" t="s">
        <v>62</v>
      </c>
      <c r="C35" s="4" t="s">
        <v>120</v>
      </c>
      <c r="D35" s="4" t="s">
        <v>75</v>
      </c>
      <c r="E35" s="10" t="str">
        <f>"–3.3%, –6.0%, –2.8% jailed, charged, convicted while serving time (p &lt; .01), mainly burglary &amp; drugs; +6.7%, +5.6%, +3.6% after release, per year served (p &lt; .01). "&amp;"–$1632 quarterly earnings while serving time (p &lt; .01); –$247 after release, per year served (p = "&amp;TEXT(2*_xlfn.NORM.S.DIST(-246.5/150.3,1),".00")&amp;")"</f>
        <v>–3.3%, –6.0%, –2.8% jailed, charged, convicted while serving time (p &lt; .01), mainly burglary &amp; drugs; +6.7%, +5.6%, +3.6% after release, per year served (p &lt; .01). –$1632 quarterly earnings while serving time (p &lt; .01); –$247 after release, per year served (p = .10)</v>
      </c>
      <c r="F35" s="9" t="s">
        <v>64</v>
      </c>
      <c r="G35" s="6" t="s">
        <v>234</v>
      </c>
      <c r="H35" s="6" t="s">
        <v>233</v>
      </c>
      <c r="I35" s="4" t="s">
        <v>203</v>
      </c>
      <c r="J35" s="54" t="s">
        <v>246</v>
      </c>
      <c r="K35" s="52" t="s">
        <v>272</v>
      </c>
    </row>
    <row r="36" spans="1:11" ht="72" x14ac:dyDescent="0.2">
      <c r="A36" s="4" t="s">
        <v>231</v>
      </c>
      <c r="B36" s="6" t="s">
        <v>291</v>
      </c>
      <c r="C36" s="6" t="s">
        <v>239</v>
      </c>
      <c r="D36" s="6" t="s">
        <v>235</v>
      </c>
      <c r="E36" s="11" t="str">
        <f>"+4.1% (p = "&amp;TEXT(2*_xlfn.NORM.S.DIST(-0.041/0.053,1),".00")&amp;") ever rearrested, including –13.4% (p = "&amp;TEXT(2*_xlfn.NORM.S.DIST(-0.134/0.044,1),".000")&amp;") before case disposition, +15.0% (p = "&amp;TEXT(2*_xlfn.NORM.S.DIST(-0.15/0.045,1),".000")&amp;") after"</f>
        <v>+4.1% (p = .44) ever rearrested, including –13.4% (p = .002) before case disposition, +15.0% (p = .001) after</v>
      </c>
      <c r="F36" s="9" t="s">
        <v>64</v>
      </c>
      <c r="G36" s="45" t="s">
        <v>237</v>
      </c>
      <c r="H36" s="6"/>
      <c r="I36" s="6" t="s">
        <v>236</v>
      </c>
      <c r="J36" s="54" t="s">
        <v>244</v>
      </c>
      <c r="K36" s="50" t="s">
        <v>254</v>
      </c>
    </row>
    <row r="37" spans="1:11" ht="48" x14ac:dyDescent="0.2">
      <c r="A37" s="4" t="s">
        <v>232</v>
      </c>
      <c r="B37" s="6" t="s">
        <v>238</v>
      </c>
      <c r="C37" s="6" t="s">
        <v>240</v>
      </c>
      <c r="D37" s="6" t="s">
        <v>241</v>
      </c>
      <c r="E37" s="11" t="str">
        <f>"–24.8% (p = "&amp;TEXT(2*_xlfn.NORM.S.DIST(-0.223/0.115,1),".00")&amp;") rearrested within 1–24 months; –13.4% (p = "&amp;TEXT(2*_xlfn.NORM.S.DIST(-0.248/0.115,1),".000")&amp;") within 25–60 months; –27.4% (p = "&amp;TEXT(2*_xlfn.NORM.S.DIST(-0.274/0.104,1),".000")&amp;") overall"</f>
        <v>–24.8% (p = .05) rearrested within 1–24 months; –13.4% (p = .031) within 25–60 months; –27.4% (p = .008) overall</v>
      </c>
      <c r="F37" s="9" t="s">
        <v>64</v>
      </c>
      <c r="G37" s="45" t="s">
        <v>147</v>
      </c>
      <c r="H37" s="6" t="s">
        <v>242</v>
      </c>
      <c r="I37" s="6" t="s">
        <v>296</v>
      </c>
      <c r="J37" s="54" t="s">
        <v>244</v>
      </c>
      <c r="K37" s="48" t="s">
        <v>273</v>
      </c>
    </row>
    <row r="38" spans="1:11" ht="12.75" x14ac:dyDescent="0.2">
      <c r="A38" s="24" t="s">
        <v>72</v>
      </c>
      <c r="B38" s="24"/>
      <c r="C38" s="24"/>
      <c r="D38" s="25"/>
      <c r="E38" s="26"/>
      <c r="F38" s="27"/>
      <c r="G38" s="22"/>
      <c r="H38" s="26"/>
      <c r="I38" s="26"/>
      <c r="J38" s="56"/>
      <c r="K38" s="26"/>
    </row>
    <row r="39" spans="1:11" ht="94.5" customHeight="1" x14ac:dyDescent="0.2">
      <c r="A39" s="4" t="s">
        <v>45</v>
      </c>
      <c r="B39" s="6" t="s">
        <v>59</v>
      </c>
      <c r="C39" s="6" t="s">
        <v>95</v>
      </c>
      <c r="D39" s="6" t="s">
        <v>121</v>
      </c>
      <c r="E39" s="6" t="str">
        <f>"As 18th birthday passes, no statistically significant drop in odds of 1st serious arrest since 17, despite increased sentences. But as date of 1st passes 18th birthday, chance of another within 30 days after falls "&amp;TEXT((601-836)/(47-836)*0.6,"#0.0%")&amp;"→"&amp;TEXT((726-836)/(47-836)*0.6,"#0.0%")&amp;", within 120 days "&amp;TEXT((360-836)/(47-836)*0.6,"#0.0%")&amp;"→"&amp;TEXT((521-836)/(47-836)*0.6,"#0.0%")&amp;", within 365 days "&amp;TEXT((117-836)/(220-836)*0.6,"#0.0%")&amp;"→"&amp;TEXT((521-836)/(47-836)*0.6,"#0.0%")</f>
        <v>As 18th birthday passes, no statistically significant drop in odds of 1st serious arrest since 17, despite increased sentences. But as date of 1st passes 18th birthday, chance of another within 30 days after falls 17.9%→8.4%, within 120 days 36.2%→24.0%, within 365 days 70.0%→24.0%</v>
      </c>
      <c r="F39" s="9" t="s">
        <v>64</v>
      </c>
      <c r="G39" s="6" t="s">
        <v>46</v>
      </c>
      <c r="H39" s="6"/>
      <c r="I39" s="6" t="s">
        <v>211</v>
      </c>
      <c r="J39" s="54" t="s">
        <v>244</v>
      </c>
      <c r="K39" s="50" t="s">
        <v>274</v>
      </c>
    </row>
    <row r="40" spans="1:11" ht="62.25" customHeight="1" x14ac:dyDescent="0.2">
      <c r="A40" s="4" t="s">
        <v>85</v>
      </c>
      <c r="B40" s="6" t="s">
        <v>99</v>
      </c>
      <c r="C40" s="6" t="s">
        <v>88</v>
      </c>
      <c r="D40" s="6" t="s">
        <v>87</v>
      </c>
      <c r="E40" s="6" t="str">
        <f>"–.171%, –1.267%, –.367%, –.428%, –.011% points/year for auto theft, theft of &lt;$50, theft of &gt;$50, drug sale, assault (p = "&amp;TEXT(2*_xlfn.NORM.S.DIST(-ABS(-0.00171)/0.00283,1),".00")&amp;", "&amp;TEXT(2*_xlfn.NORM.S.DIST(-ABS(-0.01267)/0.00785,1),".00")&amp;", "&amp;TEXT(2*_xlfn.NORM.S.DIST(-ABS(-0.00367)/0.0052,1),".00")&amp;", "&amp;TEXT(2*_xlfn.NORM.S.DIST(-ABS(-0.00428)/0.00613,1),".00")&amp;", "&amp;TEXT(2*_xlfn.NORM.S.DIST(-ABS(-0.011)/0.00893,1),".00")&amp;")"</f>
        <v>–.171%, –1.267%, –.367%, –.428%, –.011% points/year for auto theft, theft of &lt;$50, theft of &gt;$50, drug sale, assault (p = .55, .11, .48, .49, .22)</v>
      </c>
      <c r="F40" s="9" t="s">
        <v>64</v>
      </c>
      <c r="G40" s="6" t="s">
        <v>89</v>
      </c>
      <c r="H40" s="6"/>
      <c r="I40" s="6" t="s">
        <v>212</v>
      </c>
      <c r="J40" s="54" t="s">
        <v>244</v>
      </c>
      <c r="K40" s="50" t="s">
        <v>275</v>
      </c>
    </row>
    <row r="41" spans="1:11" ht="156" x14ac:dyDescent="0.2">
      <c r="A41" s="4" t="s">
        <v>86</v>
      </c>
      <c r="B41" s="6" t="s">
        <v>94</v>
      </c>
      <c r="C41" s="6" t="s">
        <v>27</v>
      </c>
      <c r="D41" s="6" t="s">
        <v>17</v>
      </c>
      <c r="E41" s="6" t="str">
        <f>"Incarceration led to "&amp;TEXT(0.6395-1,"+00%;–00%")&amp;" recidivism per unit time post-release (relative change, p &lt; .01)"</f>
        <v>Incarceration led to –36% recidivism per unit time post-release (relative change, p &lt; .01)</v>
      </c>
      <c r="F41" s="9" t="s">
        <v>64</v>
      </c>
      <c r="G41" s="6" t="s">
        <v>14</v>
      </c>
      <c r="H41" s="6" t="s">
        <v>292</v>
      </c>
      <c r="I41" s="6" t="s">
        <v>293</v>
      </c>
      <c r="J41" s="54" t="s">
        <v>246</v>
      </c>
      <c r="K41" s="48" t="s">
        <v>276</v>
      </c>
    </row>
    <row r="42" spans="1:11" ht="84.75" customHeight="1" x14ac:dyDescent="0.2">
      <c r="A42" s="4" t="s">
        <v>29</v>
      </c>
      <c r="B42" s="6" t="s">
        <v>31</v>
      </c>
      <c r="C42" s="6" t="s">
        <v>30</v>
      </c>
      <c r="D42" s="6" t="s">
        <v>128</v>
      </c>
      <c r="E42" s="4" t="s">
        <v>84</v>
      </c>
      <c r="F42" s="8" t="s">
        <v>64</v>
      </c>
      <c r="G42" s="6" t="s">
        <v>214</v>
      </c>
      <c r="H42" s="6" t="s">
        <v>213</v>
      </c>
      <c r="I42" s="6" t="s">
        <v>215</v>
      </c>
      <c r="J42" s="54" t="s">
        <v>246</v>
      </c>
      <c r="K42" s="52" t="s">
        <v>277</v>
      </c>
    </row>
    <row r="43" spans="1:11" s="13" customFormat="1" ht="12" x14ac:dyDescent="0.2">
      <c r="A43" s="16" t="s">
        <v>170</v>
      </c>
      <c r="B43" s="16"/>
      <c r="C43" s="16"/>
      <c r="D43" s="16"/>
      <c r="E43" s="16"/>
      <c r="F43" s="15"/>
      <c r="G43" s="14"/>
      <c r="J43" s="57"/>
    </row>
  </sheetData>
  <pageMargins left="0.7" right="0.7" top="0.75" bottom="0.75" header="0.3" footer="0.3"/>
  <pageSetup orientation="portrait" verticalDpi="0"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67"/>
  <sheetViews>
    <sheetView showGridLines="0" workbookViewId="0"/>
  </sheetViews>
  <sheetFormatPr defaultRowHeight="15" x14ac:dyDescent="0.25"/>
  <cols>
    <col min="1" max="1" width="43.7109375" style="60" customWidth="1"/>
    <col min="2" max="2" width="12" style="60" customWidth="1"/>
    <col min="3" max="3" width="13" style="60" customWidth="1"/>
    <col min="4" max="4" width="11.5703125" style="60" customWidth="1"/>
    <col min="5" max="5" width="13.28515625" style="60" customWidth="1"/>
    <col min="6" max="6" width="12.85546875" style="60" customWidth="1"/>
    <col min="7" max="7" width="11.28515625" style="60" customWidth="1"/>
    <col min="8" max="8" width="10.7109375" style="60" customWidth="1"/>
    <col min="9" max="9" width="11.42578125" style="60" customWidth="1"/>
    <col min="10" max="10" width="11.28515625" style="60" customWidth="1"/>
    <col min="11" max="11" width="9.140625" style="60"/>
    <col min="12" max="12" width="11" style="60" customWidth="1"/>
    <col min="13" max="13" width="13.85546875" style="60" customWidth="1"/>
    <col min="14" max="14" width="9.140625" style="60"/>
    <col min="15" max="15" width="11.7109375" style="60" customWidth="1"/>
    <col min="16" max="16" width="18.28515625" style="60" customWidth="1"/>
    <col min="17" max="17" width="7" style="60" customWidth="1"/>
    <col min="18" max="18" width="10.85546875" style="60" customWidth="1"/>
    <col min="19" max="19" width="17" style="60" customWidth="1"/>
    <col min="20" max="16384" width="9.140625" style="60"/>
  </cols>
  <sheetData>
    <row r="1" spans="1:15" x14ac:dyDescent="0.25">
      <c r="A1" s="99" t="s">
        <v>386</v>
      </c>
      <c r="B1" s="99"/>
      <c r="C1" s="99" t="s">
        <v>385</v>
      </c>
      <c r="D1" s="78"/>
      <c r="E1" s="78"/>
      <c r="F1" s="78"/>
      <c r="G1" s="78"/>
      <c r="H1" s="78"/>
      <c r="I1" s="78"/>
    </row>
    <row r="2" spans="1:15" x14ac:dyDescent="0.25">
      <c r="A2" s="60" t="s">
        <v>384</v>
      </c>
      <c r="B2" s="131" t="b">
        <v>0</v>
      </c>
      <c r="C2" s="60" t="s">
        <v>383</v>
      </c>
      <c r="D2" s="78"/>
      <c r="E2" s="78"/>
      <c r="F2" s="78"/>
      <c r="G2" s="78"/>
      <c r="H2" s="78"/>
      <c r="I2" s="78"/>
    </row>
    <row r="3" spans="1:15" x14ac:dyDescent="0.25">
      <c r="A3" s="60" t="s">
        <v>382</v>
      </c>
      <c r="B3" s="131" t="b">
        <v>1</v>
      </c>
      <c r="C3" s="60" t="s">
        <v>381</v>
      </c>
      <c r="D3" s="78"/>
      <c r="E3" s="78"/>
      <c r="F3" s="78"/>
      <c r="G3" s="78"/>
      <c r="H3" s="78"/>
      <c r="I3" s="78"/>
    </row>
    <row r="4" spans="1:15" x14ac:dyDescent="0.25">
      <c r="A4" s="60" t="s">
        <v>380</v>
      </c>
      <c r="B4" s="131" t="b">
        <v>0</v>
      </c>
      <c r="C4" s="60" t="s">
        <v>379</v>
      </c>
      <c r="D4" s="78"/>
      <c r="E4" s="78"/>
      <c r="F4" s="78"/>
      <c r="G4" s="78"/>
      <c r="H4" s="78"/>
      <c r="I4" s="78"/>
    </row>
    <row r="5" spans="1:15" x14ac:dyDescent="0.25">
      <c r="A5" s="60" t="s">
        <v>378</v>
      </c>
      <c r="B5" s="131" t="b">
        <v>0</v>
      </c>
      <c r="C5" s="60" t="s">
        <v>377</v>
      </c>
      <c r="D5" s="78"/>
      <c r="E5" s="78"/>
      <c r="F5" s="78"/>
      <c r="G5" s="78"/>
      <c r="H5" s="78"/>
      <c r="I5" s="78"/>
    </row>
    <row r="6" spans="1:15" x14ac:dyDescent="0.25">
      <c r="A6" s="60" t="s">
        <v>376</v>
      </c>
      <c r="B6" s="131" t="b">
        <v>1</v>
      </c>
      <c r="D6" s="78"/>
      <c r="E6" s="78"/>
      <c r="F6" s="78"/>
      <c r="G6" s="78"/>
      <c r="H6" s="78"/>
      <c r="I6" s="78"/>
    </row>
    <row r="7" spans="1:15" x14ac:dyDescent="0.25">
      <c r="D7" s="78"/>
      <c r="E7" s="78"/>
      <c r="F7" s="78"/>
      <c r="G7" s="78"/>
      <c r="H7" s="78"/>
      <c r="I7" s="78"/>
    </row>
    <row r="8" spans="1:15" x14ac:dyDescent="0.25">
      <c r="A8" s="60" t="s">
        <v>375</v>
      </c>
      <c r="B8" s="129">
        <v>31286</v>
      </c>
      <c r="C8" s="111" t="s">
        <v>374</v>
      </c>
    </row>
    <row r="9" spans="1:15" x14ac:dyDescent="0.25">
      <c r="A9" s="60" t="s">
        <v>373</v>
      </c>
      <c r="B9" s="129">
        <v>5000</v>
      </c>
      <c r="C9" s="130" t="s">
        <v>372</v>
      </c>
    </row>
    <row r="10" spans="1:15" x14ac:dyDescent="0.25">
      <c r="A10" s="60" t="s">
        <v>371</v>
      </c>
      <c r="B10" s="129">
        <f>1632*4</f>
        <v>6528</v>
      </c>
      <c r="C10" s="111" t="s">
        <v>370</v>
      </c>
    </row>
    <row r="11" spans="1:15" x14ac:dyDescent="0.25">
      <c r="A11" s="60" t="s">
        <v>369</v>
      </c>
      <c r="B11" s="129">
        <f>683.5*4</f>
        <v>2734</v>
      </c>
      <c r="C11" s="111"/>
    </row>
    <row r="12" spans="1:15" x14ac:dyDescent="0.25">
      <c r="A12" s="60" t="s">
        <v>368</v>
      </c>
      <c r="B12" s="129">
        <f>246.5*4</f>
        <v>986</v>
      </c>
      <c r="C12" s="111"/>
    </row>
    <row r="13" spans="1:15" x14ac:dyDescent="0.25">
      <c r="A13" s="60" t="s">
        <v>367</v>
      </c>
      <c r="B13" s="60">
        <v>3</v>
      </c>
      <c r="C13" s="111" t="s">
        <v>366</v>
      </c>
    </row>
    <row r="14" spans="1:15" x14ac:dyDescent="0.25">
      <c r="A14" s="60" t="s">
        <v>365</v>
      </c>
      <c r="B14" s="128">
        <v>100000</v>
      </c>
      <c r="C14" s="111" t="s">
        <v>364</v>
      </c>
      <c r="D14" s="78"/>
      <c r="E14" s="78"/>
      <c r="F14" s="78"/>
      <c r="G14" s="78"/>
      <c r="H14" s="78"/>
      <c r="I14" s="78"/>
      <c r="J14" s="78"/>
      <c r="K14" s="78"/>
      <c r="L14" s="78"/>
      <c r="M14" s="78"/>
      <c r="N14" s="78"/>
      <c r="O14" s="78"/>
    </row>
    <row r="15" spans="1:15" x14ac:dyDescent="0.25">
      <c r="A15" s="78" t="s">
        <v>363</v>
      </c>
      <c r="B15" s="78">
        <v>0.5</v>
      </c>
      <c r="C15" s="78" t="s">
        <v>362</v>
      </c>
      <c r="D15" s="78"/>
      <c r="E15" s="78"/>
      <c r="F15" s="78"/>
      <c r="G15" s="78"/>
      <c r="H15" s="78"/>
      <c r="I15" s="78"/>
      <c r="J15" s="78"/>
      <c r="K15" s="78"/>
      <c r="L15" s="78"/>
      <c r="M15" s="78"/>
      <c r="N15" s="78"/>
      <c r="O15" s="78"/>
    </row>
    <row r="16" spans="1:15" x14ac:dyDescent="0.25">
      <c r="A16" s="60" t="s">
        <v>361</v>
      </c>
      <c r="B16" s="94">
        <v>2173800</v>
      </c>
      <c r="C16" s="111" t="s">
        <v>360</v>
      </c>
    </row>
    <row r="17" spans="1:15" x14ac:dyDescent="0.25">
      <c r="A17" s="60" t="s">
        <v>359</v>
      </c>
      <c r="B17" s="94">
        <v>728200</v>
      </c>
      <c r="C17" s="111"/>
    </row>
    <row r="18" spans="1:15" x14ac:dyDescent="0.25">
      <c r="A18" s="60" t="s">
        <v>358</v>
      </c>
      <c r="B18" s="60">
        <v>172.2</v>
      </c>
      <c r="C18" s="111" t="s">
        <v>357</v>
      </c>
    </row>
    <row r="19" spans="1:15" x14ac:dyDescent="0.25">
      <c r="A19" s="78" t="s">
        <v>356</v>
      </c>
      <c r="B19" s="78">
        <v>215.303</v>
      </c>
      <c r="C19" s="121"/>
    </row>
    <row r="20" spans="1:15" x14ac:dyDescent="0.25">
      <c r="A20" s="99" t="s">
        <v>355</v>
      </c>
      <c r="B20" s="99">
        <v>218.05600000000001</v>
      </c>
      <c r="C20" s="121"/>
      <c r="M20" s="94"/>
    </row>
    <row r="21" spans="1:15" ht="30" x14ac:dyDescent="0.25">
      <c r="A21" s="99"/>
      <c r="B21" s="127" t="s">
        <v>315</v>
      </c>
      <c r="C21" s="127" t="s">
        <v>314</v>
      </c>
      <c r="D21" s="126" t="s">
        <v>313</v>
      </c>
      <c r="E21" s="126" t="s">
        <v>312</v>
      </c>
      <c r="F21" s="127" t="s">
        <v>311</v>
      </c>
      <c r="G21" s="126" t="s">
        <v>354</v>
      </c>
      <c r="H21" s="126" t="s">
        <v>309</v>
      </c>
      <c r="I21" s="125" t="s">
        <v>353</v>
      </c>
      <c r="J21" s="92" t="s">
        <v>352</v>
      </c>
      <c r="L21" s="120"/>
      <c r="M21" s="78"/>
      <c r="N21" s="78"/>
      <c r="O21" s="78"/>
    </row>
    <row r="22" spans="1:15" x14ac:dyDescent="0.25">
      <c r="A22" s="121" t="s">
        <v>351</v>
      </c>
      <c r="B22" s="124">
        <v>1</v>
      </c>
      <c r="C22" s="124">
        <v>1</v>
      </c>
      <c r="D22" s="124">
        <v>1</v>
      </c>
      <c r="E22" s="124">
        <v>0</v>
      </c>
      <c r="F22" s="124">
        <v>0</v>
      </c>
      <c r="G22" s="124">
        <v>0</v>
      </c>
      <c r="H22" s="124">
        <v>0</v>
      </c>
      <c r="I22" s="123" t="s">
        <v>350</v>
      </c>
      <c r="J22" s="122" t="s">
        <v>349</v>
      </c>
      <c r="L22" s="120"/>
      <c r="M22" s="78"/>
      <c r="N22" s="78"/>
      <c r="O22" s="78"/>
    </row>
    <row r="23" spans="1:15" hidden="1" x14ac:dyDescent="0.25">
      <c r="A23" s="121" t="s">
        <v>348</v>
      </c>
      <c r="B23" s="101" t="b">
        <f t="shared" ref="B23:H23" si="0">OR(NOT(B22),Applies_to_crimes_of_passion_too?)</f>
        <v>1</v>
      </c>
      <c r="C23" s="101" t="b">
        <f t="shared" si="0"/>
        <v>1</v>
      </c>
      <c r="D23" s="101" t="b">
        <f t="shared" si="0"/>
        <v>1</v>
      </c>
      <c r="E23" s="101" t="b">
        <f t="shared" si="0"/>
        <v>1</v>
      </c>
      <c r="F23" s="101" t="b">
        <f t="shared" si="0"/>
        <v>1</v>
      </c>
      <c r="G23" s="101" t="b">
        <f t="shared" si="0"/>
        <v>1</v>
      </c>
      <c r="H23" s="101" t="b">
        <f t="shared" si="0"/>
        <v>1</v>
      </c>
      <c r="I23" s="114"/>
      <c r="L23" s="120"/>
      <c r="M23" s="78"/>
      <c r="N23" s="78"/>
      <c r="O23" s="78"/>
    </row>
    <row r="24" spans="1:15" x14ac:dyDescent="0.25">
      <c r="A24" s="60" t="s">
        <v>347</v>
      </c>
      <c r="B24" s="119">
        <v>15696</v>
      </c>
      <c r="C24" s="119">
        <v>124047</v>
      </c>
      <c r="D24" s="119">
        <v>764449</v>
      </c>
      <c r="E24" s="119">
        <v>327374</v>
      </c>
      <c r="F24" s="119">
        <v>1579527</v>
      </c>
      <c r="G24" s="119">
        <v>5706346</v>
      </c>
      <c r="H24" s="119">
        <v>707758</v>
      </c>
      <c r="I24" s="114"/>
      <c r="J24" s="111" t="s">
        <v>346</v>
      </c>
    </row>
    <row r="25" spans="1:15" x14ac:dyDescent="0.25">
      <c r="A25" s="60" t="s">
        <v>345</v>
      </c>
      <c r="B25" s="118">
        <v>1</v>
      </c>
      <c r="C25" s="117">
        <v>0.32500000000000001</v>
      </c>
      <c r="D25" s="117">
        <v>0.61899999999999999</v>
      </c>
      <c r="E25" s="117">
        <v>0.61899999999999999</v>
      </c>
      <c r="F25" s="117">
        <v>0.50800000000000001</v>
      </c>
      <c r="G25" s="117">
        <v>0.28599999999999998</v>
      </c>
      <c r="H25" s="117">
        <v>0.69</v>
      </c>
      <c r="I25" s="105">
        <v>1</v>
      </c>
      <c r="J25" s="111" t="s">
        <v>344</v>
      </c>
    </row>
    <row r="26" spans="1:15" hidden="1" x14ac:dyDescent="0.25">
      <c r="A26" s="110" t="s">
        <v>338</v>
      </c>
      <c r="B26" s="116">
        <v>0</v>
      </c>
      <c r="C26" s="116">
        <v>6.7000000000000004E-2</v>
      </c>
      <c r="D26" s="116">
        <v>4.3999999999999997E-2</v>
      </c>
      <c r="E26" s="116">
        <v>5.1999999999999998E-2</v>
      </c>
      <c r="F26" s="114"/>
      <c r="G26" s="116">
        <v>1.9E-2</v>
      </c>
      <c r="H26" s="116">
        <v>0.01</v>
      </c>
      <c r="I26" s="116">
        <v>3.1E-2</v>
      </c>
      <c r="J26" s="114"/>
      <c r="K26" s="111" t="s">
        <v>343</v>
      </c>
    </row>
    <row r="27" spans="1:15" x14ac:dyDescent="0.25">
      <c r="A27" s="113" t="s">
        <v>342</v>
      </c>
      <c r="B27" s="115">
        <v>-2.3001626999999999E-3</v>
      </c>
      <c r="C27" s="115">
        <v>1.0913651999999999E-2</v>
      </c>
      <c r="D27" s="115">
        <v>1.3376819999999999E-2</v>
      </c>
      <c r="E27" s="115">
        <v>-3.4231541999999997E-2</v>
      </c>
      <c r="F27" s="115">
        <v>-1.5348588999999999</v>
      </c>
      <c r="G27" s="115">
        <v>-3.9557856999999998</v>
      </c>
      <c r="H27" s="115">
        <v>-1.1968348</v>
      </c>
      <c r="I27" s="114"/>
      <c r="J27" s="111" t="s">
        <v>341</v>
      </c>
    </row>
    <row r="28" spans="1:15" x14ac:dyDescent="0.25">
      <c r="A28" s="110" t="s">
        <v>338</v>
      </c>
      <c r="B28" s="109">
        <v>8.9585145000000005E-3</v>
      </c>
      <c r="C28" s="109">
        <v>5.4379045000000001E-2</v>
      </c>
      <c r="D28" s="109">
        <v>0.1239437025</v>
      </c>
      <c r="E28" s="109">
        <v>0.49368369249999999</v>
      </c>
      <c r="F28" s="109">
        <v>1.2323380474999999</v>
      </c>
      <c r="G28" s="109">
        <v>6.9697259249999997</v>
      </c>
      <c r="H28" s="109">
        <v>0.70739290750000006</v>
      </c>
      <c r="I28" s="114"/>
      <c r="J28" s="108"/>
    </row>
    <row r="29" spans="1:15" x14ac:dyDescent="0.25">
      <c r="A29" s="113" t="s">
        <v>340</v>
      </c>
      <c r="B29" s="112">
        <v>1.1539246E-3</v>
      </c>
      <c r="C29" s="112">
        <v>-9.2900394000000001E-3</v>
      </c>
      <c r="D29" s="112">
        <v>-2.3409201999999999E-3</v>
      </c>
      <c r="E29" s="112">
        <v>1.71173352E-2</v>
      </c>
      <c r="F29" s="112">
        <v>7.7998881999999997E-3</v>
      </c>
      <c r="G29" s="112">
        <v>4.15888466E-2</v>
      </c>
      <c r="H29" s="112">
        <v>2.02628E-4</v>
      </c>
      <c r="I29" s="112">
        <f>-0.1001820614-0.079</f>
        <v>-0.17918206139999998</v>
      </c>
      <c r="J29" s="111" t="s">
        <v>339</v>
      </c>
    </row>
    <row r="30" spans="1:15" x14ac:dyDescent="0.25">
      <c r="A30" s="110" t="s">
        <v>338</v>
      </c>
      <c r="B30" s="109">
        <v>3.3914127000000001E-3</v>
      </c>
      <c r="C30" s="109">
        <v>4.7764449000000002E-3</v>
      </c>
      <c r="D30" s="109">
        <v>5.2396385000000002E-3</v>
      </c>
      <c r="E30" s="109">
        <v>1.02785212E-2</v>
      </c>
      <c r="F30" s="109">
        <v>1.91978883E-2</v>
      </c>
      <c r="G30" s="109">
        <v>2.4403249299999999E-2</v>
      </c>
      <c r="H30" s="109">
        <v>4.4661353000000001E-3</v>
      </c>
      <c r="I30" s="109"/>
      <c r="J30" s="109"/>
      <c r="K30" s="108"/>
    </row>
    <row r="31" spans="1:15" x14ac:dyDescent="0.25">
      <c r="A31" s="107" t="s">
        <v>337</v>
      </c>
      <c r="B31" s="106">
        <v>0.79230767488479614</v>
      </c>
      <c r="C31" s="106">
        <v>0.56594616174697876</v>
      </c>
      <c r="D31" s="106">
        <v>0.53056490421295166</v>
      </c>
      <c r="E31" s="106">
        <v>0.28925171494483948</v>
      </c>
      <c r="F31" s="106">
        <v>0.14102564752101898</v>
      </c>
      <c r="G31" s="106">
        <v>0.19939853250980377</v>
      </c>
      <c r="H31" s="106">
        <v>0.22059054672718048</v>
      </c>
      <c r="I31" s="105">
        <v>1</v>
      </c>
      <c r="J31" s="104" t="s">
        <v>336</v>
      </c>
    </row>
    <row r="32" spans="1:15" x14ac:dyDescent="0.25">
      <c r="A32" s="60" t="s">
        <v>335</v>
      </c>
      <c r="B32" s="103">
        <f>'McCollister, French, and Fang'!B7/1000</f>
        <v>9179.5169999999998</v>
      </c>
      <c r="C32" s="84">
        <f>'McCollister, French, and Fang'!C7/1000</f>
        <v>203.768</v>
      </c>
      <c r="D32" s="84">
        <f>'McCollister, French, and Fang'!D7/1000</f>
        <v>22.135000000000002</v>
      </c>
      <c r="E32" s="84">
        <f>'McCollister, French, and Fang'!E7/1000</f>
        <v>8.2750000000000004</v>
      </c>
      <c r="F32" s="84">
        <f>'McCollister, French, and Fang'!F7/1000</f>
        <v>1.3620000000000001</v>
      </c>
      <c r="G32" s="84">
        <f>'McCollister, French, and Fang'!G7/1000</f>
        <v>0.48</v>
      </c>
      <c r="H32" s="84">
        <f>'McCollister, French, and Fang'!H7/1000</f>
        <v>6.1139999999999999</v>
      </c>
      <c r="I32" s="102">
        <f>3317/CPI_2010*CPI_2008/1000</f>
        <v>3.275122220897384</v>
      </c>
      <c r="J32" s="60" t="s">
        <v>334</v>
      </c>
    </row>
    <row r="33" spans="1:20" x14ac:dyDescent="0.25">
      <c r="A33" s="60" t="s">
        <v>333</v>
      </c>
      <c r="B33" s="84"/>
      <c r="C33" s="84">
        <f>'McCollister, French, and Fang'!C8/1000</f>
        <v>205.19800000000001</v>
      </c>
      <c r="D33" s="84">
        <f>'McCollister, French, and Fang'!D8/1000</f>
        <v>103.723</v>
      </c>
      <c r="E33" s="84">
        <f>'McCollister, French, and Fang'!E8/1000</f>
        <v>25.873999999999999</v>
      </c>
      <c r="F33" s="84">
        <f>'McCollister, French, and Fang'!F8/1000</f>
        <v>1.6830000000000001</v>
      </c>
      <c r="G33" s="84">
        <f>'McCollister, French, and Fang'!G8/1000</f>
        <v>0.49</v>
      </c>
      <c r="H33" s="84">
        <f>'McCollister, French, and Fang'!H8/1000</f>
        <v>6.3760000000000003</v>
      </c>
      <c r="I33" s="102">
        <f>3317/CPI_2010*CPI_2008/1000</f>
        <v>3.275122220897384</v>
      </c>
    </row>
    <row r="34" spans="1:20" x14ac:dyDescent="0.25">
      <c r="A34" s="78" t="s">
        <v>332</v>
      </c>
      <c r="B34" s="101">
        <v>9700</v>
      </c>
      <c r="C34" s="84">
        <v>237</v>
      </c>
      <c r="D34" s="84">
        <v>70</v>
      </c>
      <c r="E34" s="84">
        <f>232/29*E32</f>
        <v>66.2</v>
      </c>
      <c r="F34" s="84">
        <v>25</v>
      </c>
      <c r="G34" s="101">
        <v>2.2999999999999998</v>
      </c>
      <c r="H34" s="101">
        <v>7.5</v>
      </c>
      <c r="I34" s="100">
        <f>3317/CPI_2010*CPI_2000/1000</f>
        <v>2.6194528011153095</v>
      </c>
      <c r="J34" s="78" t="s">
        <v>331</v>
      </c>
    </row>
    <row r="35" spans="1:20" s="78" customFormat="1" x14ac:dyDescent="0.25">
      <c r="A35" s="99" t="s">
        <v>330</v>
      </c>
      <c r="B35" s="99"/>
      <c r="C35" s="98">
        <f t="shared" ref="C35:H35" si="1">(C33-C32)/$B$32*$B$34+C34</f>
        <v>238.51108168327374</v>
      </c>
      <c r="D35" s="98">
        <f t="shared" si="1"/>
        <v>156.2140785838732</v>
      </c>
      <c r="E35" s="98">
        <f t="shared" si="1"/>
        <v>84.796871709045263</v>
      </c>
      <c r="F35" s="98">
        <f t="shared" si="1"/>
        <v>25.339200853378234</v>
      </c>
      <c r="G35" s="98">
        <f t="shared" si="1"/>
        <v>2.3105670047781381</v>
      </c>
      <c r="H35" s="98">
        <f t="shared" si="1"/>
        <v>7.7768555251872193</v>
      </c>
      <c r="I35" s="97">
        <f>I34</f>
        <v>2.6194528011153095</v>
      </c>
    </row>
    <row r="36" spans="1:20" x14ac:dyDescent="0.25">
      <c r="A36" s="93" t="s">
        <v>329</v>
      </c>
    </row>
    <row r="37" spans="1:20" x14ac:dyDescent="0.25">
      <c r="A37" s="93"/>
      <c r="B37" s="96"/>
      <c r="C37" s="96"/>
      <c r="D37" s="96"/>
      <c r="E37" s="96"/>
      <c r="F37" s="96"/>
      <c r="G37" s="96"/>
      <c r="H37" s="96"/>
    </row>
    <row r="38" spans="1:20" x14ac:dyDescent="0.25">
      <c r="A38" s="93"/>
    </row>
    <row r="39" spans="1:20" x14ac:dyDescent="0.25">
      <c r="A39" s="95" t="s">
        <v>328</v>
      </c>
      <c r="B39" s="94"/>
    </row>
    <row r="40" spans="1:20" x14ac:dyDescent="0.25">
      <c r="A40" s="93"/>
      <c r="B40" s="144" t="s">
        <v>327</v>
      </c>
      <c r="C40" s="144"/>
      <c r="D40" s="144"/>
      <c r="E40" s="144"/>
      <c r="F40" s="145" t="s">
        <v>326</v>
      </c>
      <c r="G40" s="145"/>
    </row>
    <row r="41" spans="1:20" x14ac:dyDescent="0.25">
      <c r="A41" s="93"/>
      <c r="B41" s="92" t="s">
        <v>325</v>
      </c>
      <c r="C41" s="92" t="s">
        <v>324</v>
      </c>
      <c r="D41" s="92" t="s">
        <v>137</v>
      </c>
      <c r="E41" s="92" t="s">
        <v>323</v>
      </c>
      <c r="F41" s="91" t="s">
        <v>245</v>
      </c>
      <c r="G41" s="91" t="s">
        <v>244</v>
      </c>
      <c r="I41" s="90"/>
      <c r="J41" s="90"/>
      <c r="K41" s="90"/>
    </row>
    <row r="42" spans="1:20" x14ac:dyDescent="0.25">
      <c r="A42" s="89" t="s">
        <v>322</v>
      </c>
      <c r="B42" s="78"/>
      <c r="C42" s="88"/>
      <c r="F42" s="146">
        <f>SUM(F43:G47)</f>
        <v>92300.666666666672</v>
      </c>
      <c r="G42" s="146"/>
      <c r="I42" s="78"/>
      <c r="J42" s="78"/>
      <c r="K42" s="78"/>
    </row>
    <row r="43" spans="1:20" x14ac:dyDescent="0.25">
      <c r="A43" s="83" t="s">
        <v>321</v>
      </c>
      <c r="B43" s="66"/>
      <c r="C43" s="62"/>
      <c r="F43" s="142">
        <f>Cost_inmate__2010</f>
        <v>31286</v>
      </c>
      <c r="G43" s="142"/>
      <c r="I43" s="87"/>
    </row>
    <row r="44" spans="1:20" x14ac:dyDescent="0.25">
      <c r="A44" s="86" t="s">
        <v>320</v>
      </c>
      <c r="B44" s="85"/>
      <c r="C44" s="62"/>
      <c r="F44" s="142">
        <f>-Transfer_value_of_food__housing__etc.</f>
        <v>-5000</v>
      </c>
      <c r="G44" s="142"/>
      <c r="M44" s="84"/>
      <c r="N44" s="84"/>
      <c r="O44" s="84"/>
      <c r="P44" s="84"/>
      <c r="R44" s="84"/>
      <c r="S44" s="84"/>
      <c r="T44" s="84"/>
    </row>
    <row r="45" spans="1:20" x14ac:dyDescent="0.25">
      <c r="A45" s="83" t="s">
        <v>319</v>
      </c>
      <c r="B45" s="66"/>
      <c r="C45" s="62"/>
      <c r="F45" s="142">
        <f>Value_of_QALY*Disability_weight_of_incarceration</f>
        <v>50000</v>
      </c>
      <c r="G45" s="142"/>
      <c r="Q45" s="84"/>
    </row>
    <row r="46" spans="1:20" x14ac:dyDescent="0.25">
      <c r="A46" s="83" t="s">
        <v>318</v>
      </c>
      <c r="B46" s="66"/>
      <c r="C46" s="62"/>
      <c r="F46" s="142">
        <f>Earnings_loss__incapacitation__2010___year</f>
        <v>6528</v>
      </c>
      <c r="G46" s="142"/>
      <c r="J46" s="61"/>
    </row>
    <row r="47" spans="1:20" x14ac:dyDescent="0.25">
      <c r="A47" s="83" t="s">
        <v>317</v>
      </c>
      <c r="B47" s="66"/>
      <c r="C47" s="62"/>
      <c r="F47" s="142">
        <f>5*(Earnings_loss__post_incarceration__per_spell/Average_length_of_stay__years+Earnings_loss__post_incarceration__per_year_held)</f>
        <v>9486.6666666666679</v>
      </c>
      <c r="G47" s="142"/>
      <c r="J47" s="61"/>
    </row>
    <row r="48" spans="1:20" x14ac:dyDescent="0.25">
      <c r="A48" s="83"/>
      <c r="B48" s="66"/>
      <c r="C48" s="62"/>
      <c r="F48" s="82"/>
      <c r="G48" s="81"/>
      <c r="I48" s="62"/>
    </row>
    <row r="49" spans="1:19" x14ac:dyDescent="0.25">
      <c r="A49" s="80" t="s">
        <v>316</v>
      </c>
      <c r="B49" s="79">
        <f>SUM(B51,B53,B55,B57,B59,B61,B63,B65)</f>
        <v>0.90449772569310061</v>
      </c>
      <c r="C49" s="79">
        <f>SUM(C51,C53,C55,C57,C59,C61,C63,C65)</f>
        <v>6.6997206327000001</v>
      </c>
      <c r="D49" s="79">
        <f>SUM(D51,D53,D55,D57,D59,D61,D63,D65)</f>
        <v>-0.69971797412053016</v>
      </c>
      <c r="E49" s="79">
        <f>B49+C49+D49</f>
        <v>6.9045003842725698</v>
      </c>
      <c r="F49" s="75">
        <f>SUM(F51,F53,F55,F57,F59,F61,F63,F65)</f>
        <v>26743.517924047334</v>
      </c>
      <c r="G49" s="75">
        <f>SUM(G51,G53,G55,G57,G59,G61,G63,G65)</f>
        <v>91840.617107109108</v>
      </c>
      <c r="I49" s="74"/>
      <c r="J49" s="73"/>
      <c r="K49" s="73"/>
      <c r="M49" s="61"/>
    </row>
    <row r="50" spans="1:19" hidden="1" x14ac:dyDescent="0.25">
      <c r="A50" s="78"/>
      <c r="B50" s="77"/>
      <c r="C50" s="76">
        <f>SQRT(SUMSQ(C52,C54,C56,C58,C60,C62,C64,C66))</f>
        <v>7.1314980350317363</v>
      </c>
      <c r="D50" s="76">
        <f>SQRT(SUMSQ(D52,D54,D56,D58,D60,D62,D64,D66))</f>
        <v>0.50992797489794783</v>
      </c>
      <c r="E50" s="76">
        <f>SQRT(SUMSQ((B50,C50,D50)))</f>
        <v>7.1497056417201561</v>
      </c>
      <c r="F50" s="75">
        <f>SQRT(SUMSQ(F52,F54,F56,F58,F60,F62,F64,F66))</f>
        <v>23158.898771887463</v>
      </c>
      <c r="G50" s="75">
        <f>SQRT(SUMSQ(G52,G54,G56,G58,G60,G62,G64,G66))</f>
        <v>76772.348957362585</v>
      </c>
      <c r="I50" s="74"/>
      <c r="J50" s="73"/>
      <c r="K50" s="73"/>
      <c r="M50" s="61"/>
    </row>
    <row r="51" spans="1:19" x14ac:dyDescent="0.25">
      <c r="A51" s="66" t="s">
        <v>315</v>
      </c>
      <c r="B51" s="72">
        <f>B23*B24/B25*(1-(1+1/(Prisoners+Jailed))^IF(Deterrence__best_case_for_decarceration?,0,-0.1))</f>
        <v>5.4086826513533026E-4</v>
      </c>
      <c r="C51" s="72">
        <f>-IF(Incapacitation__best_case_for_decarceration?,0,B27)</f>
        <v>2.3001626999999999E-3</v>
      </c>
      <c r="D51" s="72">
        <f>-IF(Aftereffects__best_case_for_decarceration?,0,B29/B31)/B25</f>
        <v>-1.45640972134693E-3</v>
      </c>
      <c r="E51" s="72">
        <f>B51+C51+D51</f>
        <v>1.3846212437884002E-3</v>
      </c>
      <c r="F51" s="67">
        <f>E51*IF(Allocate_murder_costs_to_other_crimes_for_precision?,B33,B32)/CPI_2008*CPI_2010*1000</f>
        <v>0</v>
      </c>
      <c r="G51" s="67">
        <f>E51*IF(Allocate_murder_costs_to_other_crimes_for_precision?,B35,B34)/CPI_2000*CPI_2010*1000</f>
        <v>0</v>
      </c>
      <c r="H51" s="65"/>
      <c r="I51" s="65"/>
      <c r="J51" s="65"/>
      <c r="K51" s="65"/>
      <c r="L51" s="65"/>
      <c r="M51" s="65"/>
      <c r="N51" s="65"/>
      <c r="O51" s="65"/>
      <c r="P51" s="65"/>
      <c r="R51" s="65"/>
      <c r="S51" s="65"/>
    </row>
    <row r="52" spans="1:19" hidden="1" x14ac:dyDescent="0.25">
      <c r="A52" s="66"/>
      <c r="B52" s="71"/>
      <c r="C52" s="70">
        <f>IF(Incapacitation__best_case_for_decarceration?,0,B28)</f>
        <v>8.9585145000000005E-3</v>
      </c>
      <c r="D52" s="70">
        <f>IF(Aftereffects__best_case_for_decarceration?,0,B30/B31)/B25</f>
        <v>4.2804238902432968E-3</v>
      </c>
      <c r="E52" s="70">
        <f>SQRT(SUMSQ((B52,C52,D52)))</f>
        <v>9.9285956069766392E-3</v>
      </c>
      <c r="F52" s="67">
        <f>E52*IF(Allocate_murder_costs_to_other_crimes_for_precision?,B33,B32)/CPI_2008*CPI_2010*1000</f>
        <v>0</v>
      </c>
      <c r="G52" s="67">
        <f>E52*IF(Allocate_murder_costs_to_other_crimes_for_precision?,B35,B34)/CPI_2000*CPI_2010*1000</f>
        <v>0</v>
      </c>
      <c r="O52" s="65"/>
      <c r="P52" s="65"/>
      <c r="Q52" s="65"/>
      <c r="R52" s="65"/>
      <c r="S52" s="65"/>
    </row>
    <row r="53" spans="1:19" x14ac:dyDescent="0.25">
      <c r="A53" s="66" t="s">
        <v>314</v>
      </c>
      <c r="B53" s="68">
        <f>C23*C24/C25*(1-(1+1/(Prisoners+Jailed))^IF(Deterrence__best_case_for_decarceration?,0,-0.1))</f>
        <v>1.3152412311856487E-2</v>
      </c>
      <c r="C53" s="68">
        <f>-IF(Incapacitation__best_case_for_decarceration?,0,C27)</f>
        <v>-1.0913651999999999E-2</v>
      </c>
      <c r="D53" s="68">
        <f>-IF(Aftereffects__best_case_for_decarceration?,0,C29/C31)/C25</f>
        <v>5.0507872563617065E-2</v>
      </c>
      <c r="E53" s="68">
        <f>B53+C53+D53</f>
        <v>5.2746632875473556E-2</v>
      </c>
      <c r="F53" s="67">
        <f>E53*IF(Allocate_murder_costs_to_other_crimes_for_precision?,C33,C32)/CPI_2008*CPI_2010*1000</f>
        <v>10961.899718380264</v>
      </c>
      <c r="G53" s="67">
        <f>E53*IF(Allocate_murder_costs_to_other_crimes_for_precision?,C35,C34)/CPI_2000*CPI_2010*1000</f>
        <v>15930.822447960907</v>
      </c>
      <c r="I53" s="62"/>
      <c r="J53" s="62"/>
      <c r="K53" s="62"/>
      <c r="M53" s="61"/>
      <c r="Q53" s="65"/>
    </row>
    <row r="54" spans="1:19" hidden="1" x14ac:dyDescent="0.25">
      <c r="A54" s="66"/>
      <c r="B54" s="68"/>
      <c r="C54" s="64">
        <f>IF(Incapacitation__best_case_for_decarceration?,0,C28)</f>
        <v>5.4379045000000001E-2</v>
      </c>
      <c r="D54" s="64">
        <f>IF(Aftereffects__best_case_for_decarceration?,0,C30/C31)/C25</f>
        <v>2.5968465786736995E-2</v>
      </c>
      <c r="E54" s="64">
        <f>SQRT(SUMSQ((B54,C54,D54)))</f>
        <v>6.0261444974618349E-2</v>
      </c>
      <c r="F54" s="67">
        <f>E54*IF(Allocate_murder_costs_to_other_crimes_for_precision?,C33,C32)/CPI_2008*CPI_2010*1000</f>
        <v>12523.641428562487</v>
      </c>
      <c r="G54" s="67">
        <f>E54*IF(Allocate_murder_costs_to_other_crimes_for_precision?,C35,C34)/CPI_2000*CPI_2010*1000</f>
        <v>18200.48651474404</v>
      </c>
      <c r="I54" s="62"/>
      <c r="J54" s="62"/>
      <c r="K54" s="62"/>
      <c r="M54" s="61"/>
    </row>
    <row r="55" spans="1:19" x14ac:dyDescent="0.25">
      <c r="A55" s="69" t="s">
        <v>313</v>
      </c>
      <c r="B55" s="68">
        <f>D23*D24/D25*(1-(1+1/(Prisoners+Jailed))^IF(Deterrence__best_case_for_decarceration?,0,-0.1))</f>
        <v>4.2555958652033848E-2</v>
      </c>
      <c r="C55" s="68">
        <f>-IF(Incapacitation__best_case_for_decarceration?,0,D27)</f>
        <v>-1.3376819999999999E-2</v>
      </c>
      <c r="D55" s="68">
        <f>-IF(Aftereffects__best_case_for_decarceration?,0,D29/D31)/D25</f>
        <v>7.1278317748618399E-3</v>
      </c>
      <c r="E55" s="68">
        <f>B55+C55+D55</f>
        <v>3.6306970426895693E-2</v>
      </c>
      <c r="F55" s="67">
        <f>E55*IF(Allocate_murder_costs_to_other_crimes_for_precision?,D33,D32)/CPI_2008*CPI_2010*1000</f>
        <v>3814.0206564907207</v>
      </c>
      <c r="G55" s="67">
        <f>E55*IF(Allocate_murder_costs_to_other_crimes_for_precision?,D35,D34)/CPI_2000*CPI_2010*1000</f>
        <v>7181.99464578059</v>
      </c>
      <c r="H55" s="61"/>
      <c r="I55" s="61"/>
      <c r="J55" s="61"/>
      <c r="K55" s="61"/>
      <c r="L55" s="61"/>
      <c r="M55" s="61"/>
      <c r="N55" s="61"/>
      <c r="O55" s="61"/>
    </row>
    <row r="56" spans="1:19" hidden="1" x14ac:dyDescent="0.25">
      <c r="A56" s="69"/>
      <c r="B56" s="65"/>
      <c r="C56" s="64">
        <f>IF(Incapacitation__best_case_for_decarceration?,0,D28)</f>
        <v>0.1239437025</v>
      </c>
      <c r="D56" s="64">
        <f>IF(Aftereffects__best_case_for_decarceration?,0,D30/D31)/D25</f>
        <v>1.5954094372413651E-2</v>
      </c>
      <c r="E56" s="64">
        <f>SQRT(SUMSQ((B56,C56,D56)))</f>
        <v>0.12496629352210295</v>
      </c>
      <c r="F56" s="67">
        <f>E56*IF(Allocate_murder_costs_to_other_crimes_for_precision?,D33,D32)/CPI_2008*CPI_2010*1000</f>
        <v>13127.617624226416</v>
      </c>
      <c r="G56" s="67">
        <f>E56*IF(Allocate_murder_costs_to_other_crimes_for_precision?,D35,D34)/CPI_2000*CPI_2010*1000</f>
        <v>24719.970860304242</v>
      </c>
      <c r="H56" s="61"/>
      <c r="I56" s="61"/>
      <c r="J56" s="61"/>
      <c r="K56" s="61"/>
      <c r="L56" s="61"/>
      <c r="M56" s="61"/>
      <c r="N56" s="61"/>
      <c r="O56" s="61"/>
    </row>
    <row r="57" spans="1:19" x14ac:dyDescent="0.25">
      <c r="A57" s="66" t="s">
        <v>312</v>
      </c>
      <c r="B57" s="68">
        <f>E23*E24/E25*(1-(1+1/(Prisoners+Jailed))^IF(Deterrence__best_case_for_decarceration?,0,-0.1))</f>
        <v>1.8224517800076827E-2</v>
      </c>
      <c r="C57" s="68">
        <f>-IF(Incapacitation__best_case_for_decarceration?,0,E27)</f>
        <v>3.4231541999999997E-2</v>
      </c>
      <c r="D57" s="68">
        <f>-IF(Aftereffects__best_case_for_decarceration?,0,E29/E31)/E25</f>
        <v>-9.5602569248422892E-2</v>
      </c>
      <c r="E57" s="68">
        <f>B57+C57+D57</f>
        <v>-4.3146509448346068E-2</v>
      </c>
      <c r="F57" s="67">
        <f>E57*IF(Allocate_murder_costs_to_other_crimes_for_precision?,E33,E32)/CPI_2008*CPI_2010*1000</f>
        <v>-1130.6474322591162</v>
      </c>
      <c r="G57" s="67">
        <f>E57*IF(Allocate_murder_costs_to_other_crimes_for_precision?,E35,E34)/CPI_2000*CPI_2010*1000</f>
        <v>-4632.9796419123168</v>
      </c>
      <c r="I57" s="62"/>
      <c r="J57" s="62"/>
      <c r="K57" s="62"/>
      <c r="M57" s="61"/>
    </row>
    <row r="58" spans="1:19" hidden="1" x14ac:dyDescent="0.25">
      <c r="A58" s="66"/>
      <c r="B58" s="65"/>
      <c r="C58" s="64">
        <f>IF(Incapacitation__best_case_for_decarceration?,0,E28)</f>
        <v>0.49368369249999999</v>
      </c>
      <c r="D58" s="64">
        <f>IF(Aftereffects__best_case_for_decarceration?,0,E30/E31)/E25</f>
        <v>5.7406893264226246E-2</v>
      </c>
      <c r="E58" s="64">
        <f>SQRT(SUMSQ((B58,C58,D58)))</f>
        <v>0.49701020073504004</v>
      </c>
      <c r="F58" s="67">
        <f>E58*IF(Allocate_murder_costs_to_other_crimes_for_precision?,E33,E32)/CPI_2008*CPI_2010*1000</f>
        <v>13024.073429170568</v>
      </c>
      <c r="G58" s="67">
        <f>E58*IF(Allocate_murder_costs_to_other_crimes_for_precision?,E35,E34)/CPI_2000*CPI_2010*1000</f>
        <v>53367.889344208852</v>
      </c>
      <c r="I58" s="62"/>
      <c r="J58" s="62"/>
      <c r="K58" s="62"/>
      <c r="M58" s="61"/>
    </row>
    <row r="59" spans="1:19" x14ac:dyDescent="0.25">
      <c r="A59" s="66" t="s">
        <v>311</v>
      </c>
      <c r="B59" s="68">
        <f>F23*F24/F25*(1-(1+1/(Prisoners+Jailed))^IF(Deterrence__best_case_for_decarceration?,0,-0.1))</f>
        <v>0.10714350567078788</v>
      </c>
      <c r="C59" s="68">
        <f>-IF(Incapacitation__best_case_for_decarceration?,0,F27)</f>
        <v>1.5348588999999999</v>
      </c>
      <c r="D59" s="68">
        <f>-IF(Aftereffects__best_case_for_decarceration?,0,F29/F31)/F25</f>
        <v>-0.10887459763397168</v>
      </c>
      <c r="E59" s="68">
        <f>B59+C59+D59</f>
        <v>1.533127808036816</v>
      </c>
      <c r="F59" s="67">
        <f>E59*IF(Allocate_murder_costs_to_other_crimes_for_precision?,F33,F32)/CPI_2008*CPI_2010*1000</f>
        <v>2613.2468578306457</v>
      </c>
      <c r="G59" s="67">
        <f>E59*IF(Allocate_murder_costs_to_other_crimes_for_precision?,F35,F34)/CPI_2000*CPI_2010*1000</f>
        <v>49193.324017039115</v>
      </c>
      <c r="I59" s="62"/>
      <c r="J59" s="62"/>
      <c r="K59" s="62"/>
      <c r="M59" s="61"/>
    </row>
    <row r="60" spans="1:19" hidden="1" x14ac:dyDescent="0.25">
      <c r="A60" s="66"/>
      <c r="B60" s="65"/>
      <c r="C60" s="64">
        <f>IF(Incapacitation__best_case_for_decarceration?,0,F28)</f>
        <v>1.2323380474999999</v>
      </c>
      <c r="D60" s="64">
        <f>IF(Aftereffects__best_case_for_decarceration?,0,F30/F31)/F25</f>
        <v>0.26797337480868416</v>
      </c>
      <c r="E60" s="64">
        <f>SQRT(SUMSQ((B60,C60,D60)))</f>
        <v>1.261137103142425</v>
      </c>
      <c r="F60" s="67">
        <f>E60*IF(Allocate_murder_costs_to_other_crimes_for_precision?,F33,F32)/CPI_2008*CPI_2010*1000</f>
        <v>2149.6332887606486</v>
      </c>
      <c r="G60" s="67">
        <f>E60*IF(Allocate_murder_costs_to_other_crimes_for_precision?,F35,F34)/CPI_2000*CPI_2010*1000</f>
        <v>40465.984518432</v>
      </c>
      <c r="I60" s="62"/>
      <c r="J60" s="62"/>
      <c r="K60" s="62"/>
      <c r="M60" s="61"/>
    </row>
    <row r="61" spans="1:19" x14ac:dyDescent="0.25">
      <c r="A61" s="66" t="s">
        <v>310</v>
      </c>
      <c r="B61" s="68">
        <f>G23*G24/G25*(1-(1+1/(Prisoners+Jailed))^IF(Deterrence__best_case_for_decarceration?,0,-0.1))</f>
        <v>0.68753463117455693</v>
      </c>
      <c r="C61" s="68">
        <f>-IF(Incapacitation__best_case_for_decarceration?,0,G27)</f>
        <v>3.9557856999999998</v>
      </c>
      <c r="D61" s="68">
        <f>-IF(Aftereffects__best_case_for_decarceration?,0,G29/G31)/G25</f>
        <v>-0.72927090145609752</v>
      </c>
      <c r="E61" s="68">
        <f>B61+C61+D61</f>
        <v>3.9140494297184598</v>
      </c>
      <c r="F61" s="67">
        <f>E61*IF(Allocate_murder_costs_to_other_crimes_for_precision?,G33,G32)/CPI_2008*CPI_2010*1000</f>
        <v>1942.4074982646657</v>
      </c>
      <c r="G61" s="67">
        <f>E61*IF(Allocate_murder_costs_to_other_crimes_for_precision?,G35,G34)/CPI_2000*CPI_2010*1000</f>
        <v>11451.958545892057</v>
      </c>
      <c r="I61" s="62"/>
      <c r="J61" s="62"/>
      <c r="K61" s="62"/>
      <c r="M61" s="61"/>
    </row>
    <row r="62" spans="1:19" hidden="1" x14ac:dyDescent="0.25">
      <c r="A62" s="66"/>
      <c r="B62" s="65"/>
      <c r="C62" s="64">
        <f>IF(Incapacitation__best_case_for_decarceration?,0,G28)</f>
        <v>6.9697259249999997</v>
      </c>
      <c r="D62" s="64">
        <f>IF(Aftereffects__best_case_for_decarceration?,0,G30/G31)/G25</f>
        <v>0.42791712370953033</v>
      </c>
      <c r="E62" s="64">
        <f>SQRT(SUMSQ((B62,C62,D62)))</f>
        <v>6.9828498862843205</v>
      </c>
      <c r="F62" s="67">
        <f>E62*IF(Allocate_murder_costs_to_other_crimes_for_precision?,G33,G32)/CPI_2008*CPI_2010*1000</f>
        <v>3465.3471352176734</v>
      </c>
      <c r="G62" s="67">
        <f>E62*IF(Allocate_murder_costs_to_other_crimes_for_precision?,G35,G34)/CPI_2000*CPI_2010*1000</f>
        <v>20430.837388700842</v>
      </c>
      <c r="I62" s="62"/>
      <c r="J62" s="62"/>
      <c r="K62" s="62"/>
      <c r="M62" s="61"/>
    </row>
    <row r="63" spans="1:19" x14ac:dyDescent="0.25">
      <c r="A63" s="66" t="s">
        <v>309</v>
      </c>
      <c r="B63" s="68">
        <f>H23*H24/H25*(1-(1+1/(Prisoners+Jailed))^IF(Deterrence__best_case_for_decarceration?,0,-0.1))</f>
        <v>3.5345831818653244E-2</v>
      </c>
      <c r="C63" s="68">
        <f>-IF(Incapacitation__best_case_for_decarceration?,0,H27)</f>
        <v>1.1968348</v>
      </c>
      <c r="D63" s="68">
        <f>-IF(Aftereffects__best_case_for_decarceration?,0,H29/H31)/H25</f>
        <v>-1.3312617991700988E-3</v>
      </c>
      <c r="E63" s="68">
        <f>B63+C63+D63</f>
        <v>1.2308493700194831</v>
      </c>
      <c r="F63" s="67">
        <f>E63*IF(Allocate_murder_costs_to_other_crimes_for_precision?,H33,H32)/CPI_2008*CPI_2010*1000</f>
        <v>7948.2437276763576</v>
      </c>
      <c r="G63" s="67">
        <f>E63*IF(Allocate_murder_costs_to_other_crimes_for_precision?,H35,H34)/CPI_2000*CPI_2010*1000</f>
        <v>12121.150194684962</v>
      </c>
      <c r="I63" s="62"/>
      <c r="J63" s="62"/>
      <c r="K63" s="62"/>
      <c r="M63" s="61"/>
    </row>
    <row r="64" spans="1:19" hidden="1" x14ac:dyDescent="0.25">
      <c r="A64" s="66"/>
      <c r="B64" s="65"/>
      <c r="C64" s="64">
        <f>IF(Incapacitation__best_case_for_decarceration?,0,H28)</f>
        <v>0.70739290750000006</v>
      </c>
      <c r="D64" s="64">
        <f>IF(Aftereffects__best_case_for_decarceration?,0,H30/H31)/H25</f>
        <v>2.9342417211910936E-2</v>
      </c>
      <c r="E64" s="64">
        <f>SQRT(SUMSQ((B64,C64,D64)))</f>
        <v>0.70800120270317446</v>
      </c>
      <c r="F64" s="67">
        <f>E64*IF(Allocate_murder_costs_to_other_crimes_for_precision?,H33,H32)/CPI_2008*CPI_2010*1000</f>
        <v>4571.9372781445609</v>
      </c>
      <c r="G64" s="67">
        <f>E64*IF(Allocate_murder_costs_to_other_crimes_for_precision?,H35,H34)/CPI_2000*CPI_2010*1000</f>
        <v>6972.2495091718065</v>
      </c>
      <c r="I64" s="62"/>
      <c r="J64" s="62"/>
      <c r="K64" s="62"/>
      <c r="M64" s="61"/>
    </row>
    <row r="65" spans="1:13" x14ac:dyDescent="0.25">
      <c r="A65" s="66" t="s">
        <v>308</v>
      </c>
      <c r="B65" s="68"/>
      <c r="C65" s="68"/>
      <c r="D65" s="68">
        <f>-IF(Aftereffects__best_case_for_decarceration?,0,I29/I31)/I25</f>
        <v>0.17918206139999998</v>
      </c>
      <c r="E65" s="68">
        <f>B65+C65+D65</f>
        <v>0.17918206139999998</v>
      </c>
      <c r="F65" s="67">
        <f>E65*I32/CPI_2008*CPI_2010*1000</f>
        <v>594.34689766379995</v>
      </c>
      <c r="G65" s="67">
        <f>E65*I34/CPI_2000*CPI_2010*1000</f>
        <v>594.34689766379984</v>
      </c>
      <c r="I65" s="62"/>
      <c r="J65" s="62"/>
      <c r="K65" s="62"/>
      <c r="M65" s="61"/>
    </row>
    <row r="66" spans="1:13" hidden="1" x14ac:dyDescent="0.25">
      <c r="A66" s="66"/>
      <c r="B66" s="65"/>
      <c r="C66" s="64"/>
      <c r="D66" s="64">
        <f>IF(Aftereffects__best_case_for_decarceration?,0,I30/I31)/I25</f>
        <v>0</v>
      </c>
      <c r="E66" s="64">
        <f>SQRT(SUMSQ((B66,C66,D66)))</f>
        <v>0</v>
      </c>
      <c r="F66" s="63">
        <f>E66*I32/CPI_2008*CPI_2010*1000</f>
        <v>0</v>
      </c>
      <c r="G66" s="63">
        <f>E66*I34/CPI_2000*CPI_2010*1000</f>
        <v>0</v>
      </c>
      <c r="I66" s="62"/>
      <c r="J66" s="62"/>
      <c r="K66" s="62"/>
      <c r="M66" s="61"/>
    </row>
    <row r="67" spans="1:13" x14ac:dyDescent="0.25">
      <c r="A67" s="143" t="s">
        <v>307</v>
      </c>
      <c r="B67" s="143"/>
      <c r="C67" s="143"/>
      <c r="D67" s="143"/>
      <c r="E67" s="143"/>
      <c r="F67" s="143"/>
      <c r="G67" s="143"/>
    </row>
  </sheetData>
  <mergeCells count="9">
    <mergeCell ref="F45:G45"/>
    <mergeCell ref="F46:G46"/>
    <mergeCell ref="A67:G67"/>
    <mergeCell ref="B40:E40"/>
    <mergeCell ref="F40:G40"/>
    <mergeCell ref="F43:G43"/>
    <mergeCell ref="F44:G44"/>
    <mergeCell ref="F47:G47"/>
    <mergeCell ref="F42:G42"/>
  </mergeCells>
  <pageMargins left="0.7" right="0.7" top="0.75" bottom="0.75" header="0.3" footer="0.3"/>
  <pageSetup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from>
                    <xdr:col>1</xdr:col>
                    <xdr:colOff>561975</xdr:colOff>
                    <xdr:row>4</xdr:row>
                    <xdr:rowOff>180975</xdr:rowOff>
                  </from>
                  <to>
                    <xdr:col>1</xdr:col>
                    <xdr:colOff>771525</xdr:colOff>
                    <xdr:row>6</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from>
                    <xdr:col>1</xdr:col>
                    <xdr:colOff>561975</xdr:colOff>
                    <xdr:row>3</xdr:row>
                    <xdr:rowOff>180975</xdr:rowOff>
                  </from>
                  <to>
                    <xdr:col>1</xdr:col>
                    <xdr:colOff>771525</xdr:colOff>
                    <xdr:row>5</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ltText="">
                <anchor moveWithCells="1">
                  <from>
                    <xdr:col>1</xdr:col>
                    <xdr:colOff>561975</xdr:colOff>
                    <xdr:row>2</xdr:row>
                    <xdr:rowOff>180975</xdr:rowOff>
                  </from>
                  <to>
                    <xdr:col>1</xdr:col>
                    <xdr:colOff>771525</xdr:colOff>
                    <xdr:row>4</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ltText="">
                <anchor moveWithCells="1">
                  <from>
                    <xdr:col>1</xdr:col>
                    <xdr:colOff>561975</xdr:colOff>
                    <xdr:row>1</xdr:row>
                    <xdr:rowOff>180975</xdr:rowOff>
                  </from>
                  <to>
                    <xdr:col>1</xdr:col>
                    <xdr:colOff>771525</xdr:colOff>
                    <xdr:row>3</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ltText="">
                <anchor moveWithCells="1">
                  <from>
                    <xdr:col>1</xdr:col>
                    <xdr:colOff>561975</xdr:colOff>
                    <xdr:row>1</xdr:row>
                    <xdr:rowOff>0</xdr:rowOff>
                  </from>
                  <to>
                    <xdr:col>1</xdr:col>
                    <xdr:colOff>771525</xdr:colOff>
                    <xdr:row>2</xdr:row>
                    <xdr:rowOff>9525</xdr:rowOff>
                  </to>
                </anchor>
              </controlPr>
            </control>
          </mc:Choice>
        </mc:AlternateContent>
      </controls>
    </mc:Choice>
  </mc:AlternateContent>
  <tableParts count="1">
    <tablePart r:id="rId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showGridLines="0" workbookViewId="0"/>
  </sheetViews>
  <sheetFormatPr defaultColWidth="11.42578125" defaultRowHeight="15" x14ac:dyDescent="0.25"/>
  <cols>
    <col min="1" max="1" width="14.7109375" customWidth="1"/>
  </cols>
  <sheetData>
    <row r="1" spans="1:8" x14ac:dyDescent="0.25">
      <c r="A1" s="134" t="s">
        <v>393</v>
      </c>
    </row>
    <row r="3" spans="1:8" s="139" customFormat="1" ht="30" x14ac:dyDescent="0.25">
      <c r="A3" s="141"/>
      <c r="B3" s="140" t="s">
        <v>315</v>
      </c>
      <c r="C3" s="140" t="s">
        <v>314</v>
      </c>
      <c r="D3" s="140" t="s">
        <v>313</v>
      </c>
      <c r="E3" s="140" t="s">
        <v>312</v>
      </c>
      <c r="F3" s="140" t="s">
        <v>392</v>
      </c>
      <c r="G3" s="140" t="s">
        <v>391</v>
      </c>
      <c r="H3" s="140" t="s">
        <v>309</v>
      </c>
    </row>
    <row r="4" spans="1:8" x14ac:dyDescent="0.25">
      <c r="A4" t="s">
        <v>390</v>
      </c>
      <c r="B4" s="132">
        <v>737517</v>
      </c>
      <c r="C4" s="132">
        <v>5556</v>
      </c>
      <c r="D4" s="132">
        <v>8700</v>
      </c>
      <c r="E4" s="132">
        <v>3299</v>
      </c>
      <c r="F4" s="132">
        <v>1362</v>
      </c>
      <c r="G4" s="132">
        <v>480</v>
      </c>
      <c r="H4" s="132">
        <v>6114</v>
      </c>
    </row>
    <row r="5" spans="1:8" x14ac:dyDescent="0.25">
      <c r="A5" s="138" t="s">
        <v>389</v>
      </c>
      <c r="B5" s="137">
        <v>8442000</v>
      </c>
      <c r="C5" s="137">
        <v>198212</v>
      </c>
      <c r="D5" s="137">
        <v>13435</v>
      </c>
      <c r="E5" s="137">
        <v>4976</v>
      </c>
      <c r="F5" s="137"/>
      <c r="G5" s="137"/>
      <c r="H5" s="137"/>
    </row>
    <row r="6" spans="1:8" x14ac:dyDescent="0.25">
      <c r="A6" s="136" t="s">
        <v>388</v>
      </c>
      <c r="B6" s="135"/>
      <c r="C6" s="135">
        <v>1430</v>
      </c>
      <c r="D6" s="135">
        <v>81588</v>
      </c>
      <c r="E6" s="135">
        <v>17599</v>
      </c>
      <c r="F6" s="135">
        <v>321</v>
      </c>
      <c r="G6" s="135">
        <v>10</v>
      </c>
      <c r="H6" s="135">
        <v>262</v>
      </c>
    </row>
    <row r="7" spans="1:8" x14ac:dyDescent="0.25">
      <c r="A7" s="134" t="s">
        <v>387</v>
      </c>
      <c r="B7" s="132">
        <f t="shared" ref="B7:H7" si="0">SUM(B4:B5)</f>
        <v>9179517</v>
      </c>
      <c r="C7" s="132">
        <f t="shared" si="0"/>
        <v>203768</v>
      </c>
      <c r="D7" s="132">
        <f t="shared" si="0"/>
        <v>22135</v>
      </c>
      <c r="E7" s="132">
        <f t="shared" si="0"/>
        <v>8275</v>
      </c>
      <c r="F7" s="132">
        <f t="shared" si="0"/>
        <v>1362</v>
      </c>
      <c r="G7" s="132">
        <f t="shared" si="0"/>
        <v>480</v>
      </c>
      <c r="H7" s="132">
        <f t="shared" si="0"/>
        <v>6114</v>
      </c>
    </row>
    <row r="8" spans="1:8" x14ac:dyDescent="0.25">
      <c r="A8" s="133" t="s">
        <v>323</v>
      </c>
      <c r="C8" s="132">
        <f t="shared" ref="C8:H8" si="1">SUM(C4:C6)</f>
        <v>205198</v>
      </c>
      <c r="D8" s="132">
        <f t="shared" si="1"/>
        <v>103723</v>
      </c>
      <c r="E8" s="132">
        <f t="shared" si="1"/>
        <v>25874</v>
      </c>
      <c r="F8" s="132">
        <f t="shared" si="1"/>
        <v>1683</v>
      </c>
      <c r="G8" s="132">
        <f t="shared" si="1"/>
        <v>490</v>
      </c>
      <c r="H8" s="132">
        <f t="shared" si="1"/>
        <v>6376</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24</vt:i4>
      </vt:variant>
    </vt:vector>
  </HeadingPairs>
  <TitlesOfParts>
    <vt:vector size="27" baseType="lpstr">
      <vt:lpstr>Big table</vt:lpstr>
      <vt:lpstr>Cost-Benefit analysis</vt:lpstr>
      <vt:lpstr>McCollister, French, and Fang</vt:lpstr>
      <vt:lpstr>Aftereffects__best_case_for_decarceration?</vt:lpstr>
      <vt:lpstr>Allocate_murder_costs_to_other_crimes_for_precision?</vt:lpstr>
      <vt:lpstr>Applies_to_crimes_of_passion_too?</vt:lpstr>
      <vt:lpstr>Average_length_of_stay__years</vt:lpstr>
      <vt:lpstr>Cost_inmate__2010</vt:lpstr>
      <vt:lpstr>CPI_2000</vt:lpstr>
      <vt:lpstr>CPI_2007</vt:lpstr>
      <vt:lpstr>CPI_2008</vt:lpstr>
      <vt:lpstr>CPI_2010</vt:lpstr>
      <vt:lpstr>Deterrence__best_case_for_decarceration?</vt:lpstr>
      <vt:lpstr>Deterrence_of__crimes_of_passion__too?</vt:lpstr>
      <vt:lpstr>Disability_weight_of_incarceration</vt:lpstr>
      <vt:lpstr>Earnings_loss__incapacitation__2010___year</vt:lpstr>
      <vt:lpstr>Earnings_loss__post_incarceration__per_spell</vt:lpstr>
      <vt:lpstr>Earnings_loss__post_incarceration__per_year_held</vt:lpstr>
      <vt:lpstr>Elasticity</vt:lpstr>
      <vt:lpstr>Harm_incident__low__murder_allocated__2008__1_000</vt:lpstr>
      <vt:lpstr>Incapacitation__best_case_for_decarceration?</vt:lpstr>
      <vt:lpstr>Jailed</vt:lpstr>
      <vt:lpstr>Low_cost_estimates__allocate_murder_to_other_crimes?</vt:lpstr>
      <vt:lpstr>Prisoners</vt:lpstr>
      <vt:lpstr>'Cost-Benefit analysis'!Query_from_UCR_1</vt:lpstr>
      <vt:lpstr>Transfer_value_of_food__housing__etc.</vt:lpstr>
      <vt:lpstr>Value_of_QALY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revision>1</cp:revision>
  <dcterms:created xsi:type="dcterms:W3CDTF">2017-05-08T18:49:02Z</dcterms:created>
  <dcterms:modified xsi:type="dcterms:W3CDTF">2017-09-27T00:50:44Z</dcterms:modified>
</cp:coreProperties>
</file>